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defaultThemeVersion="124226"/>
  <xr:revisionPtr revIDLastSave="0" documentId="13_ncr:1_{A60AF85B-0F31-48E0-9005-D816F13C3BFC}" xr6:coauthVersionLast="47" xr6:coauthVersionMax="47" xr10:uidLastSave="{00000000-0000-0000-0000-000000000000}"/>
  <bookViews>
    <workbookView xWindow="-120" yWindow="-120" windowWidth="29040" windowHeight="15840" tabRatio="996" firstSheet="6" activeTab="17" xr2:uid="{E068F74D-BD60-4895-977E-E4832850647E}"/>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7 - True-Up" sheetId="17" r:id="rId12"/>
    <sheet name="8 - Const Loan True-up" sheetId="30"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 name="Sheet1" sheetId="4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413'!$A$1:$L$56</definedName>
    <definedName name="_xlnm.Print_Area" localSheetId="3">'2 - Cost Support '!$A$1:$F$108</definedName>
    <definedName name="_xlnm.Print_Area" localSheetId="4">'2a - Cost Support'!$A$1:$M$185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'7 - True-Up'!$A$1:$L$60</definedName>
    <definedName name="_xlnm.Print_Area" localSheetId="12">'8 - Const Loan True-up'!$A$1:$P$165</definedName>
    <definedName name="_xlnm.Print_Area" localSheetId="13">'9- Depreciation Rates'!$A$1:$F$48</definedName>
    <definedName name="_xlnm.Print_Area" localSheetId="1">'Appendix III'!$A$1:$M$276</definedName>
    <definedName name="_xlnm.Print_Area" localSheetId="19">'WP1 - O&amp;M detail'!$A$1:$L$55</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2" i="29" l="1"/>
  <c r="E168" i="29" l="1"/>
  <c r="E170" i="29"/>
  <c r="E158" i="29"/>
  <c r="AC8" i="45" l="1"/>
  <c r="E140" i="29"/>
  <c r="AC7" i="45"/>
  <c r="Z7" i="45" l="1"/>
  <c r="E139" i="29" l="1"/>
  <c r="E145" i="29" l="1"/>
  <c r="I46" i="32" l="1"/>
  <c r="H200" i="3" l="1"/>
  <c r="H22" i="27" l="1"/>
  <c r="H21" i="27"/>
  <c r="R8" i="45" l="1"/>
  <c r="S8" i="45" s="1"/>
  <c r="T8" i="45" s="1"/>
  <c r="U8" i="45" s="1"/>
  <c r="V8" i="45" s="1"/>
  <c r="W8" i="45" s="1"/>
  <c r="X8" i="45" s="1"/>
  <c r="Y8" i="45" s="1"/>
  <c r="Z8" i="45" s="1"/>
  <c r="AA8" i="45" s="1"/>
  <c r="AB8" i="45" s="1"/>
  <c r="R7" i="45"/>
  <c r="S7" i="45" s="1"/>
  <c r="T7" i="45" s="1"/>
  <c r="U7" i="45" s="1"/>
  <c r="V7" i="45" s="1"/>
  <c r="W7" i="45" l="1"/>
  <c r="X7" i="45" s="1"/>
  <c r="Y7" i="45" s="1"/>
  <c r="G12" i="44"/>
  <c r="AA7" i="45" l="1"/>
  <c r="AB7" i="45" s="1"/>
  <c r="G14" i="25"/>
  <c r="G7" i="29" l="1"/>
  <c r="G11" i="44" l="1"/>
  <c r="G10" i="44"/>
  <c r="G18" i="44" l="1"/>
  <c r="E166" i="29" l="1"/>
  <c r="D43" i="32"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Y24" i="47"/>
  <c r="U24" i="47"/>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s="1"/>
  <c r="P16" i="45" s="1"/>
  <c r="AH15" i="45"/>
  <c r="AD15" i="45"/>
  <c r="H15" i="45"/>
  <c r="L15" i="45" s="1"/>
  <c r="P15" i="45" s="1"/>
  <c r="AH14" i="45"/>
  <c r="AD14" i="45"/>
  <c r="H14" i="45"/>
  <c r="L14" i="45" s="1"/>
  <c r="P14" i="45" s="1"/>
  <c r="AH13" i="45"/>
  <c r="AD13" i="45"/>
  <c r="H13" i="45"/>
  <c r="L13" i="45"/>
  <c r="P13" i="45" s="1"/>
  <c r="AH12" i="45"/>
  <c r="AJ12" i="45" s="1"/>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4" i="3" s="1"/>
  <c r="F52" i="9"/>
  <c r="F36" i="9"/>
  <c r="D54" i="40"/>
  <c r="D36" i="40"/>
  <c r="E22" i="40" s="1"/>
  <c r="E18" i="40"/>
  <c r="C35" i="40"/>
  <c r="E13" i="40" s="1"/>
  <c r="E11" i="40"/>
  <c r="E10" i="40"/>
  <c r="E19" i="40" s="1"/>
  <c r="A10" i="22"/>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H30" i="27"/>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0" i="4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s="1"/>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29" i="40"/>
  <c r="F30" i="40" s="1"/>
  <c r="D30" i="40"/>
  <c r="E30" i="40"/>
  <c r="E43" i="40"/>
  <c r="F43" i="40"/>
  <c r="C46" i="40" s="1"/>
  <c r="B50" i="40"/>
  <c r="B51" i="40"/>
  <c r="F61" i="40"/>
  <c r="F62" i="40"/>
  <c r="F63" i="40"/>
  <c r="F64" i="40"/>
  <c r="F65" i="40"/>
  <c r="E12" i="40"/>
  <c r="D50" i="40" s="1"/>
  <c r="E9" i="40"/>
  <c r="P41" i="38"/>
  <c r="H201" i="3" s="1"/>
  <c r="G13" i="25" s="1"/>
  <c r="P34" i="38"/>
  <c r="P23" i="38"/>
  <c r="P25" i="38" s="1"/>
  <c r="O23" i="38"/>
  <c r="N23" i="38"/>
  <c r="M23" i="38"/>
  <c r="L23" i="38"/>
  <c r="K23" i="38"/>
  <c r="J23" i="38"/>
  <c r="I23" i="38"/>
  <c r="H23" i="38"/>
  <c r="G23" i="38"/>
  <c r="F23" i="38"/>
  <c r="E23" i="38"/>
  <c r="D23" i="38"/>
  <c r="B23" i="38"/>
  <c r="Q22" i="38"/>
  <c r="Q21" i="38"/>
  <c r="Q20" i="38"/>
  <c r="Q19" i="38"/>
  <c r="Q17" i="38"/>
  <c r="E201" i="3" s="1"/>
  <c r="D13" i="25" s="1"/>
  <c r="P15" i="38"/>
  <c r="O15" i="38"/>
  <c r="N15" i="38"/>
  <c r="M15" i="38"/>
  <c r="L15" i="38"/>
  <c r="K15" i="38"/>
  <c r="J15" i="38"/>
  <c r="I15" i="38"/>
  <c r="H15" i="38"/>
  <c r="G15" i="38"/>
  <c r="F15" i="38"/>
  <c r="E15" i="38"/>
  <c r="E25" i="38" s="1"/>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F56" i="32" s="1"/>
  <c r="E54" i="32"/>
  <c r="A44" i="32"/>
  <c r="A45" i="32" s="1"/>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c r="A23" i="32" s="1"/>
  <c r="A26" i="32" s="1"/>
  <c r="A27" i="32" s="1"/>
  <c r="A28" i="32" s="1"/>
  <c r="A29" i="32" s="1"/>
  <c r="A30" i="32" s="1"/>
  <c r="A31" i="32" s="1"/>
  <c r="A32" i="32" s="1"/>
  <c r="A34" i="32" s="1"/>
  <c r="A36" i="32" s="1"/>
  <c r="A37" i="32" s="1"/>
  <c r="A38" i="32" s="1"/>
  <c r="F34" i="32"/>
  <c r="H58" i="32" s="1"/>
  <c r="F28" i="5"/>
  <c r="F32" i="5" s="1"/>
  <c r="E28" i="5"/>
  <c r="E32" i="5" s="1"/>
  <c r="D28" i="5"/>
  <c r="D32" i="5" s="1"/>
  <c r="C25" i="5"/>
  <c r="C26" i="5"/>
  <c r="C27" i="5"/>
  <c r="C30" i="5"/>
  <c r="C31" i="5"/>
  <c r="A13" i="31"/>
  <c r="D14" i="3"/>
  <c r="D15" i="3" s="1"/>
  <c r="D16" i="3" s="1"/>
  <c r="D17" i="3" s="1"/>
  <c r="D21" i="3"/>
  <c r="B8" i="31"/>
  <c r="B9" i="3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c r="E93" i="22"/>
  <c r="E96" i="22" s="1"/>
  <c r="D10" i="22" s="1"/>
  <c r="E36" i="22"/>
  <c r="E39" i="22" s="1"/>
  <c r="D11" i="22" s="1"/>
  <c r="F64" i="23"/>
  <c r="F93" i="23"/>
  <c r="F96" i="23" s="1"/>
  <c r="E10" i="23" s="1"/>
  <c r="F36" i="23"/>
  <c r="F39" i="23" s="1"/>
  <c r="E11" i="23" s="1"/>
  <c r="F64" i="22"/>
  <c r="F93" i="22"/>
  <c r="F36" i="22"/>
  <c r="F39" i="22" s="1"/>
  <c r="E11" i="22" s="1"/>
  <c r="G64" i="23"/>
  <c r="G67" i="23" s="1"/>
  <c r="F9" i="23" s="1"/>
  <c r="G93" i="23"/>
  <c r="G96" i="23" s="1"/>
  <c r="F10" i="23" s="1"/>
  <c r="G36" i="23"/>
  <c r="G39" i="23" s="1"/>
  <c r="F11" i="23" s="1"/>
  <c r="E196" i="3"/>
  <c r="J196" i="3" s="1"/>
  <c r="F13" i="22" s="1"/>
  <c r="G64" i="22"/>
  <c r="G67" i="22" s="1"/>
  <c r="F9" i="22" s="1"/>
  <c r="G93" i="22"/>
  <c r="G96" i="22"/>
  <c r="F10" i="22" s="1"/>
  <c r="G36" i="22"/>
  <c r="G39" i="22" s="1"/>
  <c r="F11" i="22" s="1"/>
  <c r="F20" i="9"/>
  <c r="E58" i="3" s="1"/>
  <c r="F73" i="9"/>
  <c r="G5" i="29"/>
  <c r="E74" i="3" s="1"/>
  <c r="H30" i="29"/>
  <c r="H31" i="29"/>
  <c r="H59" i="29"/>
  <c r="H60" i="29"/>
  <c r="H64" i="29"/>
  <c r="H77" i="3"/>
  <c r="H76" i="3"/>
  <c r="F140" i="29"/>
  <c r="F142" i="29" s="1"/>
  <c r="F143" i="29" s="1"/>
  <c r="G140" i="29"/>
  <c r="G142" i="29" s="1"/>
  <c r="G143" i="29" s="1"/>
  <c r="E78" i="3"/>
  <c r="J78" i="3" s="1"/>
  <c r="H210" i="3" s="1"/>
  <c r="I53" i="29"/>
  <c r="E81" i="3" s="1"/>
  <c r="E120" i="3"/>
  <c r="E156" i="29"/>
  <c r="E160" i="29" s="1"/>
  <c r="E176" i="29"/>
  <c r="E178" i="29" s="1"/>
  <c r="E180" i="29" s="1"/>
  <c r="I89" i="29"/>
  <c r="H119" i="29"/>
  <c r="H120" i="29"/>
  <c r="H121" i="29"/>
  <c r="H122" i="29"/>
  <c r="H123" i="29"/>
  <c r="H124" i="29"/>
  <c r="H125" i="29"/>
  <c r="H126" i="29"/>
  <c r="H127" i="29"/>
  <c r="H128" i="29"/>
  <c r="H129" i="29"/>
  <c r="H130" i="29"/>
  <c r="H131" i="29"/>
  <c r="F26" i="29"/>
  <c r="E86" i="3" s="1"/>
  <c r="E12" i="25"/>
  <c r="E14" i="25"/>
  <c r="I14" i="25" s="1"/>
  <c r="L98" i="29"/>
  <c r="E253" i="3"/>
  <c r="E141" i="3" s="1"/>
  <c r="D24" i="25"/>
  <c r="J202" i="3"/>
  <c r="I29" i="27"/>
  <c r="I28" i="27"/>
  <c r="I27" i="27"/>
  <c r="I26" i="27"/>
  <c r="I25" i="27"/>
  <c r="E127" i="3"/>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B16" i="23"/>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s="1"/>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s="1"/>
  <c r="A15" i="5" s="1"/>
  <c r="D35" i="3" s="1"/>
  <c r="G35" i="3"/>
  <c r="G63" i="3"/>
  <c r="G81" i="3" s="1"/>
  <c r="G85" i="3" s="1"/>
  <c r="G64" i="3"/>
  <c r="C72" i="3"/>
  <c r="A2" i="29" s="1"/>
  <c r="G77" i="3"/>
  <c r="G76" i="3"/>
  <c r="C83" i="3"/>
  <c r="C85" i="3"/>
  <c r="C86" i="3"/>
  <c r="C125" i="3"/>
  <c r="C130" i="3"/>
  <c r="G133" i="3"/>
  <c r="G137" i="3"/>
  <c r="E138" i="3"/>
  <c r="D140" i="3"/>
  <c r="C144" i="3"/>
  <c r="E180" i="3"/>
  <c r="C187" i="3"/>
  <c r="E223" i="3"/>
  <c r="C234" i="3"/>
  <c r="C93" i="22"/>
  <c r="C96" i="22" s="1"/>
  <c r="F96" i="22"/>
  <c r="E10" i="22" s="1"/>
  <c r="F67" i="22"/>
  <c r="E9" i="22" s="1"/>
  <c r="F67" i="23"/>
  <c r="E9" i="23" s="1"/>
  <c r="C28" i="5"/>
  <c r="C32" i="5" s="1"/>
  <c r="C34" i="5" s="1"/>
  <c r="E63" i="3"/>
  <c r="H32" i="29"/>
  <c r="H33" i="29"/>
  <c r="H34" i="29"/>
  <c r="H35" i="29"/>
  <c r="H36" i="29"/>
  <c r="H37" i="29"/>
  <c r="H38" i="29"/>
  <c r="H39" i="29"/>
  <c r="H40" i="29"/>
  <c r="H41" i="29"/>
  <c r="H42" i="29"/>
  <c r="G43" i="29"/>
  <c r="E75" i="3" s="1"/>
  <c r="J75" i="3"/>
  <c r="H209" i="3" s="1"/>
  <c r="C43" i="40"/>
  <c r="C44" i="40" s="1"/>
  <c r="D43" i="40"/>
  <c r="C45" i="40" s="1"/>
  <c r="J25" i="38" l="1"/>
  <c r="F107" i="9"/>
  <c r="G25" i="38"/>
  <c r="K25" i="38"/>
  <c r="O25" i="38"/>
  <c r="AJ10" i="45"/>
  <c r="AJ15" i="45"/>
  <c r="F12" i="22"/>
  <c r="G120" i="3"/>
  <c r="C47" i="40"/>
  <c r="E59" i="3"/>
  <c r="E69" i="3" s="1"/>
  <c r="AJ13" i="45"/>
  <c r="AJ14" i="45"/>
  <c r="Y32" i="47"/>
  <c r="L8" i="45"/>
  <c r="P8" i="45" s="1"/>
  <c r="E65" i="3"/>
  <c r="I25" i="38"/>
  <c r="M25" i="38"/>
  <c r="H25" i="38"/>
  <c r="D25" i="38"/>
  <c r="F32" i="30"/>
  <c r="F33" i="30" s="1"/>
  <c r="F73" i="32"/>
  <c r="I74" i="32" s="1"/>
  <c r="F63" i="32"/>
  <c r="I64" i="32" s="1"/>
  <c r="Q23" i="38"/>
  <c r="E202" i="3" s="1"/>
  <c r="D14" i="25" s="1"/>
  <c r="AJ16" i="45"/>
  <c r="E17" i="48"/>
  <c r="E12" i="22"/>
  <c r="H65" i="29"/>
  <c r="E76" i="3" s="1"/>
  <c r="L25" i="38"/>
  <c r="F25" i="38"/>
  <c r="N25" i="38"/>
  <c r="D52" i="40"/>
  <c r="D55" i="40" s="1"/>
  <c r="D13" i="5" s="1"/>
  <c r="D15" i="5" s="1"/>
  <c r="E35" i="3" s="1"/>
  <c r="F54" i="9"/>
  <c r="H118" i="3"/>
  <c r="C15" i="5"/>
  <c r="F15" i="22"/>
  <c r="F16" i="23" s="1"/>
  <c r="A16" i="25"/>
  <c r="A18" i="25" s="1"/>
  <c r="A19" i="25" s="1"/>
  <c r="B21" i="25"/>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H126" i="3"/>
  <c r="J126" i="3" s="1"/>
  <c r="H133" i="3"/>
  <c r="J133" i="3" s="1"/>
  <c r="H132" i="3"/>
  <c r="J132" i="3" s="1"/>
  <c r="J127" i="3"/>
  <c r="E128" i="3"/>
  <c r="H133" i="29"/>
  <c r="E85" i="3" s="1"/>
  <c r="F12" i="23"/>
  <c r="D12" i="22"/>
  <c r="D15" i="22" s="1"/>
  <c r="F70" i="32"/>
  <c r="I71" i="32" s="1"/>
  <c r="Q15" i="38"/>
  <c r="M54" i="43"/>
  <c r="E143" i="29"/>
  <c r="H143" i="29" s="1"/>
  <c r="E77" i="3" s="1"/>
  <c r="J77" i="3" s="1"/>
  <c r="I25" i="42"/>
  <c r="E118" i="3" s="1"/>
  <c r="I63" i="41"/>
  <c r="I46" i="42"/>
  <c r="G26" i="43"/>
  <c r="W10" i="46"/>
  <c r="W32" i="46" s="1"/>
  <c r="Q32" i="46"/>
  <c r="L7" i="45"/>
  <c r="P7" i="45" s="1"/>
  <c r="E183" i="29"/>
  <c r="E121" i="3" s="1"/>
  <c r="G38" i="17"/>
  <c r="G39" i="17" s="1"/>
  <c r="G40" i="17" s="1"/>
  <c r="G41" i="17" s="1"/>
  <c r="G42" i="17" s="1"/>
  <c r="G43" i="17" s="1"/>
  <c r="G44" i="17" s="1"/>
  <c r="G45" i="17" s="1"/>
  <c r="G46" i="17" s="1"/>
  <c r="G47" i="17" s="1"/>
  <c r="G48" i="17" s="1"/>
  <c r="G49" i="17" s="1"/>
  <c r="G35" i="17"/>
  <c r="G43" i="32"/>
  <c r="H43" i="32" s="1"/>
  <c r="I43" i="32" s="1"/>
  <c r="G59" i="32"/>
  <c r="J59" i="32" s="1"/>
  <c r="J6" i="27"/>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F61" i="32"/>
  <c r="F71" i="32"/>
  <c r="F60" i="32"/>
  <c r="F67" i="32"/>
  <c r="F68" i="32"/>
  <c r="F66" i="32"/>
  <c r="F62" i="32"/>
  <c r="I63" i="32" s="1"/>
  <c r="F69" i="32"/>
  <c r="F74" i="32"/>
  <c r="P17" i="45" l="1"/>
  <c r="G64" i="32"/>
  <c r="J118" i="3"/>
  <c r="L129" i="30"/>
  <c r="P129" i="30" s="1"/>
  <c r="F15" i="23"/>
  <c r="G63" i="32"/>
  <c r="J63" i="32" s="1"/>
  <c r="F131" i="30"/>
  <c r="F132" i="30" s="1"/>
  <c r="F17" i="23"/>
  <c r="G12" i="25"/>
  <c r="I12" i="25" s="1"/>
  <c r="J200" i="3"/>
  <c r="I9" i="41"/>
  <c r="I33" i="41" s="1"/>
  <c r="E116" i="3" s="1"/>
  <c r="E122" i="3" s="1"/>
  <c r="E33" i="41"/>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E84" i="3" l="1"/>
  <c r="E87" i="3" s="1"/>
  <c r="AD8" i="45"/>
  <c r="L131" i="30"/>
  <c r="P131" i="30" s="1"/>
  <c r="AD7" i="45"/>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F194" i="3"/>
  <c r="H194" i="3" s="1"/>
  <c r="H196" i="3" s="1"/>
  <c r="H58" i="3"/>
  <c r="H81" i="3"/>
  <c r="H63" i="3"/>
  <c r="J63" i="3" s="1"/>
  <c r="J65" i="3" s="1"/>
  <c r="H116" i="3"/>
  <c r="J116" i="3" s="1"/>
  <c r="H125" i="3"/>
  <c r="J125" i="3" s="1"/>
  <c r="J128" i="3" s="1"/>
  <c r="C60" i="3"/>
  <c r="J68" i="32"/>
  <c r="J72" i="32"/>
  <c r="F85" i="30"/>
  <c r="L84" i="30"/>
  <c r="P84" i="30" s="1"/>
  <c r="L35" i="30"/>
  <c r="P35" i="30" s="1"/>
  <c r="F36" i="30"/>
  <c r="L132" i="30"/>
  <c r="F133" i="30"/>
  <c r="J61" i="32"/>
  <c r="J62" i="32"/>
  <c r="J67" i="32"/>
  <c r="J70" i="32"/>
  <c r="J69" i="32"/>
  <c r="AJ7" i="45" l="1"/>
  <c r="G21" i="27"/>
  <c r="AJ8" i="45"/>
  <c r="AJ17" i="45" s="1"/>
  <c r="G22" i="27"/>
  <c r="D36" i="9"/>
  <c r="A24" i="25"/>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G30" i="27" l="1"/>
  <c r="A65" i="3"/>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D73" i="9"/>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H17" i="23" l="1"/>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G15" i="23"/>
  <c r="A76" i="3"/>
  <c r="A77" i="3" s="1"/>
  <c r="D209" i="3"/>
  <c r="E16" i="23"/>
  <c r="G16" i="23" s="1"/>
  <c r="G15" i="22"/>
  <c r="F91" i="30"/>
  <c r="L90" i="30"/>
  <c r="P40" i="30"/>
  <c r="F42" i="30"/>
  <c r="L41" i="30"/>
  <c r="P41" i="30" s="1"/>
  <c r="P137" i="30"/>
  <c r="P139" i="30" s="1"/>
  <c r="F143" i="30" s="1"/>
  <c r="L139" i="30"/>
  <c r="D89" i="9" l="1"/>
  <c r="E17" i="23"/>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E89" i="3" s="1"/>
  <c r="E153" i="3" s="1"/>
  <c r="J73" i="3"/>
  <c r="J79" i="3" s="1"/>
  <c r="J89" i="3" s="1"/>
  <c r="F93" i="30"/>
  <c r="L93" i="30" s="1"/>
  <c r="P93" i="30" s="1"/>
  <c r="L92" i="30"/>
  <c r="P92" i="30" s="1"/>
  <c r="F149" i="30"/>
  <c r="N149" i="30"/>
  <c r="P43" i="30"/>
  <c r="P44" i="30" s="1"/>
  <c r="F48" i="30" s="1"/>
  <c r="L44" i="30"/>
  <c r="E148" i="3" l="1"/>
  <c r="E150" i="3" s="1"/>
  <c r="E155" i="3" s="1"/>
  <c r="A107" i="9"/>
  <c r="A5" i="29" s="1"/>
  <c r="A7" i="29" s="1"/>
  <c r="A9" i="29" s="1"/>
  <c r="A11" i="29" s="1"/>
  <c r="A13" i="29" s="1"/>
  <c r="D107" i="9"/>
  <c r="J7" i="25"/>
  <c r="J16" i="25" s="1"/>
  <c r="J153" i="3"/>
  <c r="A81" i="3"/>
  <c r="A83" i="3" s="1"/>
  <c r="A84"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I47" i="27" s="1"/>
  <c r="J34" i="25"/>
  <c r="J35" i="25" s="1"/>
  <c r="J36" i="25" s="1"/>
  <c r="J38" i="25" s="1"/>
  <c r="J10" i="27" s="1"/>
  <c r="C87" i="3"/>
  <c r="A89" i="3"/>
  <c r="C89" i="3"/>
  <c r="L99" i="30"/>
  <c r="P99" i="30" s="1"/>
  <c r="L50" i="30"/>
  <c r="P50" i="30" s="1"/>
  <c r="L151" i="30"/>
  <c r="P151" i="30"/>
  <c r="F152" i="30" s="1"/>
  <c r="F27" i="27" l="1"/>
  <c r="J27" i="27" s="1"/>
  <c r="K27" i="27" s="1"/>
  <c r="F25" i="27"/>
  <c r="J25" i="27" s="1"/>
  <c r="K25" i="27" s="1"/>
  <c r="F28" i="27"/>
  <c r="J28" i="27" s="1"/>
  <c r="K28" i="27" s="1"/>
  <c r="F26" i="27"/>
  <c r="J26" i="27" s="1"/>
  <c r="K26" i="27" s="1"/>
  <c r="F29" i="27"/>
  <c r="J29" i="27" s="1"/>
  <c r="K29" i="27" s="1"/>
  <c r="A115" i="3"/>
  <c r="A116" i="3" s="1"/>
  <c r="J5" i="27"/>
  <c r="J7" i="27" s="1"/>
  <c r="J9" i="27" s="1"/>
  <c r="D43" i="29"/>
  <c r="A139" i="29"/>
  <c r="A140" i="29" s="1"/>
  <c r="A141" i="29" s="1"/>
  <c r="A142" i="29" s="1"/>
  <c r="A143" i="29" s="1"/>
  <c r="A150" i="29" s="1"/>
  <c r="A153" i="29" s="1"/>
  <c r="A154" i="29" s="1"/>
  <c r="D140" i="29"/>
  <c r="D143" i="29"/>
  <c r="F105" i="30"/>
  <c r="N105" i="30"/>
  <c r="L152" i="30"/>
  <c r="P152" i="30"/>
  <c r="F153" i="30" s="1"/>
  <c r="F56" i="30"/>
  <c r="N56" i="30"/>
  <c r="E23" i="27" l="1"/>
  <c r="E22" i="27"/>
  <c r="E24" i="27"/>
  <c r="E21" i="27"/>
  <c r="D142" i="29"/>
  <c r="A155" i="29"/>
  <c r="A156" i="29" s="1"/>
  <c r="A157" i="29" s="1"/>
  <c r="A158" i="29" s="1"/>
  <c r="A159" i="29" s="1"/>
  <c r="A160" i="29" s="1"/>
  <c r="A117" i="3"/>
  <c r="A118" i="3" s="1"/>
  <c r="A119" i="3" s="1"/>
  <c r="A120" i="3" s="1"/>
  <c r="A121" i="3" s="1"/>
  <c r="A122" i="3" s="1"/>
  <c r="C122"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I21" i="27" l="1"/>
  <c r="F21" i="27"/>
  <c r="J21" i="27" s="1"/>
  <c r="I24" i="27"/>
  <c r="F24" i="27"/>
  <c r="J24" i="27" s="1"/>
  <c r="I22" i="27"/>
  <c r="F22" i="27"/>
  <c r="J22" i="27" s="1"/>
  <c r="I23" i="27"/>
  <c r="F23" i="27"/>
  <c r="J23" i="27" s="1"/>
  <c r="A124" i="3"/>
  <c r="A125" i="3" s="1"/>
  <c r="N119" i="30"/>
  <c r="N121" i="30" s="1"/>
  <c r="C161" i="29"/>
  <c r="A161" i="29"/>
  <c r="A163" i="29"/>
  <c r="A164" i="29" s="1"/>
  <c r="P106" i="30"/>
  <c r="F107" i="30" s="1"/>
  <c r="L106" i="30"/>
  <c r="P11" i="30"/>
  <c r="N70" i="30"/>
  <c r="P10" i="30" s="1"/>
  <c r="L57" i="30"/>
  <c r="P57" i="30"/>
  <c r="F58" i="30" s="1"/>
  <c r="P154" i="30"/>
  <c r="F155" i="30" s="1"/>
  <c r="L154" i="30"/>
  <c r="N72" i="30"/>
  <c r="K22" i="27" l="1"/>
  <c r="K24" i="27"/>
  <c r="K23" i="27"/>
  <c r="K21" i="27"/>
  <c r="J30" i="27"/>
  <c r="I30" i="27"/>
  <c r="A126" i="3"/>
  <c r="A127" i="3" s="1"/>
  <c r="A128" i="3" s="1"/>
  <c r="A165" i="29"/>
  <c r="A166" i="29" s="1"/>
  <c r="A167" i="29" s="1"/>
  <c r="A168" i="29" s="1"/>
  <c r="A169" i="29" s="1"/>
  <c r="A170" i="29" s="1"/>
  <c r="P16" i="30"/>
  <c r="L107" i="30"/>
  <c r="P107" i="30"/>
  <c r="F108" i="30" s="1"/>
  <c r="P58" i="30"/>
  <c r="F59" i="30" s="1"/>
  <c r="L58" i="30"/>
  <c r="P155" i="30"/>
  <c r="F156" i="30" s="1"/>
  <c r="L155" i="30"/>
  <c r="K30" i="27" l="1"/>
  <c r="E157" i="3" s="1"/>
  <c r="E159" i="3" s="1"/>
  <c r="C128" i="3"/>
  <c r="C171" i="29"/>
  <c r="A130" i="3"/>
  <c r="A131" i="3" s="1"/>
  <c r="A132" i="3" s="1"/>
  <c r="A171" i="29"/>
  <c r="A173" i="29" s="1"/>
  <c r="A174" i="29" s="1"/>
  <c r="P108" i="30"/>
  <c r="F109" i="30" s="1"/>
  <c r="L108" i="30"/>
  <c r="L156" i="30"/>
  <c r="P156" i="30"/>
  <c r="F157" i="30" s="1"/>
  <c r="L59" i="30"/>
  <c r="P59" i="30"/>
  <c r="F60" i="30" s="1"/>
  <c r="J157" i="3" l="1"/>
  <c r="K47" i="27" s="1"/>
  <c r="A175" i="29"/>
  <c r="A176" i="29" s="1"/>
  <c r="A177" i="29" s="1"/>
  <c r="A178" i="29" s="1"/>
  <c r="A179" i="29" s="1"/>
  <c r="A180" i="29" s="1"/>
  <c r="A133" i="3"/>
  <c r="A134" i="3" s="1"/>
  <c r="A135" i="3" s="1"/>
  <c r="A136" i="3" s="1"/>
  <c r="A137" i="3" s="1"/>
  <c r="A138" i="3" s="1"/>
  <c r="P109" i="30"/>
  <c r="F110" i="30" s="1"/>
  <c r="L109" i="30"/>
  <c r="P60" i="30"/>
  <c r="F61" i="30" s="1"/>
  <c r="L60" i="30"/>
  <c r="P157" i="30"/>
  <c r="F158" i="30" s="1"/>
  <c r="L157" i="30"/>
  <c r="J159" i="3" l="1"/>
  <c r="J31" i="3" s="1"/>
  <c r="C138" i="3"/>
  <c r="A140" i="3"/>
  <c r="A141" i="3" s="1"/>
  <c r="C181" i="29"/>
  <c r="A181" i="29"/>
  <c r="A183" i="29" s="1"/>
  <c r="A10" i="38" s="1"/>
  <c r="D183" i="29"/>
  <c r="L110" i="30"/>
  <c r="P110" i="30"/>
  <c r="F111" i="30" s="1"/>
  <c r="L158" i="30"/>
  <c r="P158" i="30"/>
  <c r="F159" i="30" s="1"/>
  <c r="L61" i="30"/>
  <c r="P61" i="30"/>
  <c r="F62" i="30" s="1"/>
  <c r="J47" i="27" l="1"/>
  <c r="C145" i="3"/>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C159" i="3"/>
  <c r="H9" i="17"/>
  <c r="J53" i="17" s="1"/>
  <c r="E20" i="17" l="1"/>
  <c r="E21" i="17" s="1"/>
  <c r="D31" i="3"/>
  <c r="A183" i="3"/>
  <c r="A185" i="3" s="1"/>
  <c r="E22" i="17"/>
  <c r="I21" i="17"/>
  <c r="L21" i="17" s="1"/>
  <c r="I20" i="17"/>
  <c r="A186" i="3" l="1"/>
  <c r="A187" i="3" s="1"/>
  <c r="A188" i="3" s="1"/>
  <c r="I22" i="17"/>
  <c r="L22" i="17" s="1"/>
  <c r="E23" i="17"/>
  <c r="L20" i="17"/>
  <c r="C188" i="3" l="1"/>
  <c r="C190" i="3"/>
  <c r="A190" i="3"/>
  <c r="A192" i="3" s="1"/>
  <c r="A193" i="3" s="1"/>
  <c r="A194" i="3" s="1"/>
  <c r="E24" i="17"/>
  <c r="I23" i="17"/>
  <c r="L23" i="17" s="1"/>
  <c r="A195" i="3" l="1"/>
  <c r="A196" i="3" s="1"/>
  <c r="A198" i="3" s="1"/>
  <c r="A200" i="3" s="1"/>
  <c r="C196" i="3"/>
  <c r="I24" i="17"/>
  <c r="L24" i="17" s="1"/>
  <c r="E25" i="17"/>
  <c r="A201" i="3" l="1"/>
  <c r="A202" i="3" s="1"/>
  <c r="A203" i="3" s="1"/>
  <c r="C143" i="3" s="1"/>
  <c r="C203" i="3"/>
  <c r="I25" i="17"/>
  <c r="L25" i="17" s="1"/>
  <c r="E26" i="17"/>
  <c r="A208" i="3" l="1"/>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<sst xmlns="http://schemas.openxmlformats.org/spreadsheetml/2006/main" count="2211" uniqueCount="1110">
  <si>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</si>
  <si>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</si>
  <si>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</si>
  <si>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</si>
  <si>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</si>
  <si>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</si>
  <si>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</si>
  <si>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</si>
  <si>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</si>
  <si>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</si>
  <si>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</si>
  <si>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</si>
  <si>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</si>
  <si>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</si>
  <si>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</si>
  <si>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</si>
  <si>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</si>
  <si>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</si>
  <si>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</si>
  <si>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</si>
  <si>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</si>
  <si>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</si>
  <si>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</si>
  <si>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</si>
  <si>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</si>
  <si>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</si>
  <si>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</si>
  <si>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</si>
  <si>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</si>
  <si>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</si>
  <si>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</si>
  <si>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</si>
  <si>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</si>
  <si>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</si>
  <si>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</si>
  <si>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</si>
  <si>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</si>
  <si>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</si>
  <si>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</si>
  <si>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</si>
  <si>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</si>
  <si>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</si>
  <si>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</si>
  <si>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</si>
  <si>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</si>
  <si>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</si>
  <si>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</si>
  <si>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</si>
  <si>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</si>
  <si>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</si>
  <si>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</si>
  <si>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</si>
  <si>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</si>
  <si>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</si>
  <si>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</si>
  <si>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</si>
  <si>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</si>
  <si>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</si>
  <si>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</si>
  <si>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</si>
  <si>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</si>
  <si>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</si>
  <si>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</si>
  <si>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</si>
  <si>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</si>
  <si>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</si>
  <si>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</si>
  <si>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</si>
  <si>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</si>
  <si>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</si>
  <si>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</si>
  <si>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</si>
  <si>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</si>
  <si>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</si>
  <si>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</si>
  <si>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</si>
  <si>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</si>
  <si>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</si>
  <si>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</si>
  <si>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</si>
  <si>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</si>
  <si>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</si>
  <si>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</si>
  <si>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</si>
  <si>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</si>
  <si>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</si>
  <si>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</si>
  <si>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</si>
  <si>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</si>
  <si>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</si>
  <si>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</si>
  <si>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</si>
  <si>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</si>
  <si>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</si>
  <si>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</si>
  <si>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</si>
  <si>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</si>
  <si>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</si>
  <si>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</si>
  <si>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</si>
  <si>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</si>
  <si>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</si>
  <si>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</si>
  <si>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</si>
  <si>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</si>
  <si>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</si>
  <si>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</si>
  <si>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</si>
  <si>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</si>
  <si>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</si>
  <si>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</si>
  <si>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</si>
  <si>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</si>
  <si>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</si>
  <si>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</si>
  <si>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</si>
  <si>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</si>
  <si>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</si>
  <si>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</si>
  <si>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</si>
  <si>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</si>
  <si>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</si>
  <si>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</si>
  <si>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</si>
  <si>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</si>
  <si>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</si>
  <si>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</si>
  <si>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</si>
  <si>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</si>
  <si>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</si>
  <si>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</si>
  <si>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</si>
  <si>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</si>
  <si>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</si>
  <si>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</si>
  <si>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</si>
  <si>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</si>
  <si>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</si>
  <si>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</si>
  <si>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</si>
  <si>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</si>
  <si>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</si>
  <si>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</si>
  <si>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</si>
  <si>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</si>
  <si>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</si>
  <si>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</si>
  <si>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</si>
  <si>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</si>
  <si>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</si>
  <si>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</si>
  <si>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</si>
  <si>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</si>
  <si>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</si>
  <si>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</si>
  <si>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</si>
  <si>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</si>
  <si>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</si>
  <si>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</si>
  <si>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</si>
  <si>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</si>
  <si>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</si>
  <si>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</si>
  <si>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</si>
  <si>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</si>
  <si>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</si>
  <si>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</si>
  <si>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</si>
  <si>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</si>
  <si>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</si>
  <si>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</si>
  <si>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</si>
  <si>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</si>
  <si>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</si>
  <si>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</si>
  <si>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</si>
  <si>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</si>
  <si>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</si>
  <si>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</si>
  <si>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</si>
  <si>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</si>
  <si>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</si>
  <si>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</si>
  <si>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</si>
  <si>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</si>
  <si>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</si>
  <si>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</si>
  <si>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</si>
  <si>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</si>
  <si>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</si>
  <si>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</si>
  <si>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</si>
  <si>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</si>
  <si>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</si>
  <si>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</si>
  <si>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</si>
  <si>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</si>
  <si>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</si>
  <si>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</si>
  <si>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</si>
  <si>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</si>
  <si>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</si>
  <si>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</si>
  <si>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</si>
  <si>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</si>
  <si>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</si>
  <si>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</si>
  <si>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</si>
  <si>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</si>
  <si>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</si>
  <si>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</si>
  <si>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</si>
  <si>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</si>
  <si>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</si>
  <si>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</si>
  <si>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</si>
  <si>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</si>
  <si>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</si>
  <si>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</si>
  <si>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</si>
  <si>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</si>
  <si>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</si>
  <si>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</si>
  <si>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</si>
  <si>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</si>
  <si>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</si>
  <si>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</si>
  <si>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</si>
  <si>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</si>
  <si>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</si>
  <si>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</si>
  <si>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</si>
  <si>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</si>
  <si>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</si>
  <si>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</si>
  <si>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</si>
  <si>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</si>
  <si>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</si>
  <si>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</si>
  <si>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</si>
  <si>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</si>
  <si>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</si>
  <si>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</si>
  <si>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</si>
  <si>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</si>
  <si>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</si>
  <si>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</si>
  <si>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</si>
  <si>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</si>
  <si>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</si>
  <si>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</si>
  <si>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</si>
  <si>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</si>
  <si>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</si>
  <si>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</si>
  <si>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</si>
  <si>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</si>
  <si>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</si>
  <si>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</si>
  <si>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</si>
  <si>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</si>
  <si>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</si>
  <si>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</si>
  <si>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</si>
  <si>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</si>
  <si>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</si>
  <si>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</si>
  <si>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</si>
  <si>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</si>
  <si>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</si>
  <si>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</si>
  <si>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</si>
  <si>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</si>
  <si>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</si>
  <si>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</si>
  <si>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</si>
  <si>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</si>
  <si>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</si>
  <si>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</si>
  <si>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</si>
  <si>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</si>
  <si>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</si>
  <si>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</si>
  <si>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</si>
  <si>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</si>
  <si>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</si>
  <si>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</si>
  <si>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</si>
  <si>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</si>
  <si>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</si>
  <si>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</si>
  <si>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</si>
  <si>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</si>
  <si>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</si>
  <si>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</si>
  <si>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</si>
  <si>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</si>
  <si>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</si>
  <si>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</si>
  <si>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</si>
  <si>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</si>
  <si>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</si>
  <si>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</si>
  <si>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</si>
  <si>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</si>
  <si>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</si>
  <si>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</si>
  <si>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</si>
  <si>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</si>
  <si>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</si>
  <si>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</si>
  <si>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</si>
  <si>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</si>
  <si>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</si>
  <si>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</si>
  <si>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</si>
  <si>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</si>
  <si>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</si>
  <si>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</si>
  <si>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</si>
  <si>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</si>
  <si>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</si>
  <si>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</si>
  <si>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</si>
  <si>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</si>
  <si>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</si>
  <si>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</si>
  <si>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</si>
  <si>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</si>
  <si>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</si>
  <si>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</si>
  <si>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</si>
  <si>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</si>
  <si>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</si>
  <si>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</si>
  <si>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</si>
  <si>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</si>
  <si>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</si>
  <si>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</si>
  <si>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</si>
  <si>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</si>
  <si>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</si>
  <si>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</si>
  <si>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</si>
  <si>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</si>
  <si>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</si>
  <si>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</si>
  <si>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</si>
  <si>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</si>
  <si>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</si>
  <si>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</si>
  <si>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</si>
  <si>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</si>
  <si>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</si>
  <si>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</si>
  <si>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</si>
  <si>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</si>
  <si>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</si>
  <si>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</si>
  <si>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</si>
  <si>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</si>
  <si>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</si>
  <si>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</si>
  <si>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</si>
  <si>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</si>
  <si>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</si>
  <si>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</si>
  <si>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</si>
  <si>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</si>
  <si>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</si>
  <si>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</si>
  <si>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</si>
  <si>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</si>
  <si>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</si>
  <si>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</si>
  <si>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</si>
  <si>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</si>
  <si>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</si>
  <si>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</si>
  <si>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</si>
  <si>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</si>
  <si>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</si>
  <si>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</si>
  <si>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</si>
  <si>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</si>
  <si>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</si>
  <si>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</si>
  <si>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</si>
  <si>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</si>
  <si>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</si>
  <si>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</si>
  <si>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</si>
  <si>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</si>
  <si>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</si>
  <si>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</si>
  <si>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</si>
  <si>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</si>
  <si>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</si>
  <si>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</si>
  <si>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</si>
  <si>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</si>
  <si>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</si>
  <si>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</si>
  <si>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</si>
  <si>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</si>
  <si>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</si>
  <si>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</si>
  <si>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</si>
  <si>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</si>
  <si>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</si>
  <si>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</si>
  <si>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</si>
  <si>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</si>
  <si>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</si>
  <si>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</si>
  <si>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</si>
  <si>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</si>
  <si>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</si>
  <si>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</si>
  <si>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</si>
  <si>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</si>
  <si>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</si>
  <si>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</si>
  <si>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</si>
  <si>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</si>
  <si>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</si>
  <si>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</si>
  <si>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</si>
  <si>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</si>
  <si>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</si>
  <si>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</si>
  <si>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</si>
  <si>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</si>
  <si>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</si>
  <si>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</si>
  <si>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</si>
  <si>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</si>
  <si>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</si>
  <si>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</si>
  <si>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</si>
  <si>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</si>
  <si>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</si>
  <si>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</si>
  <si>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</si>
  <si>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</si>
  <si>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</si>
  <si>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</si>
  <si>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</si>
  <si>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</si>
  <si>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</si>
  <si>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</si>
  <si>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</si>
  <si>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</si>
  <si>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</si>
  <si>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</si>
  <si>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</si>
  <si>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</si>
  <si>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</si>
  <si>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</si>
  <si>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</si>
  <si>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</si>
  <si>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</si>
  <si>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</si>
  <si>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</si>
  <si>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</si>
  <si>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</si>
  <si>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</si>
  <si>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</si>
  <si>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</si>
  <si>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</si>
  <si>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</si>
  <si>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</si>
  <si>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</si>
  <si>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</si>
  <si>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</si>
  <si>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</si>
  <si>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</si>
  <si>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</si>
  <si>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</si>
  <si>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</si>
  <si>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</si>
  <si>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</si>
  <si>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</si>
  <si>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</si>
  <si>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</si>
  <si>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</si>
  <si>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</si>
  <si>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</si>
  <si>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</si>
  <si>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</si>
  <si>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</si>
  <si>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</si>
  <si>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</si>
  <si>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</si>
  <si>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</si>
  <si>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</si>
  <si>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</si>
  <si>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</si>
  <si>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</si>
  <si>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</si>
  <si>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</si>
  <si>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</si>
  <si>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</si>
  <si>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</si>
  <si>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</si>
  <si>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</si>
  <si>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</si>
  <si>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</si>
  <si>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</si>
  <si>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</si>
  <si>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</si>
  <si>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</si>
  <si>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</si>
  <si>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</si>
  <si>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</si>
  <si>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</si>
  <si>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</si>
  <si>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</si>
  <si>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</si>
  <si>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</si>
  <si>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</si>
  <si>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</si>
  <si>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</si>
  <si>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</si>
  <si>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</si>
  <si>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</si>
  <si>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</si>
  <si>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</si>
  <si>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</si>
  <si>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</si>
  <si>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</si>
  <si>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</si>
  <si>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</si>
  <si>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</si>
  <si>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</si>
  <si>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</si>
  <si>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</si>
  <si>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</si>
  <si>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</si>
  <si>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</si>
  <si>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</si>
  <si>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</si>
  <si>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</si>
  <si>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</si>
  <si>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</si>
  <si>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</si>
  <si>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</si>
  <si>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</si>
  <si>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</si>
  <si>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</si>
  <si>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</si>
  <si>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</si>
  <si>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</si>
  <si>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</si>
  <si>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</si>
  <si>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</si>
  <si>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</si>
  <si>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</si>
  <si>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</si>
  <si>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</si>
  <si>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</si>
  <si>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</si>
  <si>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</si>
  <si>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</si>
  <si>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</si>
  <si>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</si>
  <si>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</si>
  <si>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</si>
  <si>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</si>
  <si>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</si>
  <si>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</si>
  <si>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</si>
  <si>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</si>
  <si>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</si>
  <si>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</si>
  <si>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</si>
  <si>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</si>
  <si>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</si>
  <si>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</si>
  <si>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</si>
  <si>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</si>
  <si>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</si>
  <si>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</si>
  <si>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</si>
  <si>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</si>
  <si>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</si>
  <si>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</si>
  <si>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</si>
  <si>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</si>
  <si>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</si>
  <si>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</si>
  <si>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</si>
  <si>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</si>
  <si>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</si>
  <si>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</si>
  <si>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</si>
  <si>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</si>
  <si>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</si>
  <si>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</si>
  <si>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</si>
  <si>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</si>
  <si>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</si>
  <si>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</si>
  <si>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</si>
  <si>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</si>
  <si>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</si>
  <si>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</si>
  <si>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</si>
  <si>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</si>
  <si>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</si>
  <si>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</si>
  <si>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</si>
  <si>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</si>
  <si>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</si>
  <si>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</si>
  <si>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</si>
  <si>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</si>
  <si>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</si>
  <si>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</si>
  <si>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</si>
  <si>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</si>
  <si>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</si>
  <si>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</si>
  <si>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</si>
  <si>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</si>
  <si>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</si>
  <si>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</si>
  <si>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</si>
  <si>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</si>
  <si>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</si>
  <si>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</si>
  <si>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</si>
  <si>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</si>
  <si>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</si>
  <si>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</si>
  <si>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</si>
  <si>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</si>
  <si>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</si>
  <si>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</si>
  <si>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</si>
  <si>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</si>
  <si>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</si>
  <si>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</si>
  <si>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</si>
  <si>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</si>
  <si>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</si>
  <si>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</si>
  <si>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</si>
  <si>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</si>
  <si>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</si>
  <si>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</si>
  <si>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</si>
  <si>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</si>
  <si>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</si>
  <si>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</si>
  <si>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</si>
  <si>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</si>
  <si>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</si>
  <si>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</si>
  <si>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</si>
  <si>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</si>
  <si>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</si>
  <si>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</si>
  <si>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</si>
  <si>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</si>
  <si>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</si>
  <si>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</si>
  <si>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</si>
  <si>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</si>
  <si>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</si>
  <si>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</si>
  <si>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</si>
  <si>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</si>
  <si>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</si>
  <si>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</si>
  <si>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</si>
  <si>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</si>
  <si>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</si>
  <si>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</si>
  <si>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</si>
  <si>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</si>
  <si>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</si>
  <si>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</si>
  <si>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</si>
  <si>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</si>
  <si>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</si>
  <si>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</si>
  <si>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</si>
  <si>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</si>
  <si>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</si>
  <si>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</si>
  <si>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</si>
  <si>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</si>
  <si>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</si>
  <si>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</si>
  <si>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</si>
  <si>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</si>
  <si>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</si>
  <si>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</si>
  <si>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</si>
  <si>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</si>
  <si>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</si>
  <si>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</si>
  <si>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</si>
  <si>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</si>
  <si>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</si>
  <si>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</si>
  <si>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</si>
  <si>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</si>
  <si>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</si>
  <si>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</si>
  <si>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</si>
  <si>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</si>
  <si>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</si>
  <si>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</si>
  <si>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</si>
  <si>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</si>
  <si>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</si>
  <si>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</si>
  <si>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</si>
  <si>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</si>
  <si>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</si>
  <si>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</si>
  <si>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</si>
  <si>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</si>
  <si>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</si>
  <si>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</si>
  <si>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</si>
  <si>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</si>
  <si>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</si>
  <si>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</si>
  <si>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</si>
  <si>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</si>
  <si>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</si>
  <si>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</si>
  <si>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</si>
  <si>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</si>
  <si>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</si>
  <si>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</si>
  <si>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</si>
  <si>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</si>
  <si>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</si>
  <si>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</si>
  <si>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</si>
  <si>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</si>
  <si>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</si>
  <si>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</si>
  <si>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</si>
  <si>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</si>
  <si>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</si>
  <si>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</si>
  <si>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</si>
  <si>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</si>
  <si>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</si>
  <si>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</si>
  <si>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</si>
  <si>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</si>
  <si>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</si>
  <si>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</si>
  <si>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</si>
  <si>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</si>
  <si>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</si>
  <si>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</si>
  <si>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</si>
  <si>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</si>
  <si>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</si>
  <si>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</si>
  <si>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</si>
  <si>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</si>
  <si>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</si>
  <si>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</si>
  <si>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</si>
  <si>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</si>
  <si>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</si>
  <si>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</si>
  <si>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</si>
  <si>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</si>
  <si>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</si>
  <si>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</si>
  <si>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</si>
  <si>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</si>
  <si>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</si>
  <si>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</si>
  <si>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</si>
  <si>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</si>
  <si>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</si>
  <si>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</si>
  <si>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</si>
  <si>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</si>
  <si>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</si>
  <si>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</si>
  <si>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</si>
  <si>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</si>
  <si>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</si>
  <si>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</si>
  <si>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</si>
  <si>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</si>
  <si>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</si>
  <si>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</si>
  <si>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</si>
  <si>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</si>
  <si>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</si>
  <si>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</si>
  <si>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</si>
  <si>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</si>
  <si>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</si>
  <si>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</si>
  <si>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</si>
  <si>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</si>
  <si>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</si>
  <si>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</si>
  <si>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</si>
  <si>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</si>
  <si>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</si>
  <si>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</si>
  <si>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</si>
  <si>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</si>
  <si>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</si>
  <si>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</si>
  <si>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</si>
  <si>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</si>
  <si>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</si>
  <si>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</si>
  <si>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</si>
  <si>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</si>
  <si>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</si>
  <si>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</si>
  <si>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</si>
  <si>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</si>
  <si>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</si>
  <si>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</si>
  <si>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</si>
  <si>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</si>
  <si>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</si>
  <si>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</si>
  <si>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</si>
  <si>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</si>
  <si>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</si>
  <si>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</si>
  <si>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</si>
  <si>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</si>
  <si>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</si>
  <si>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</si>
  <si>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</si>
  <si>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</si>
  <si>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</si>
  <si>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</si>
  <si>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</si>
  <si>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</si>
  <si>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</si>
  <si>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</si>
  <si>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</si>
  <si>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</si>
  <si>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</si>
  <si>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</si>
  <si>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</si>
  <si>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</si>
  <si>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</si>
  <si>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</si>
  <si>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</si>
  <si>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</si>
  <si>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</si>
  <si>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</si>
  <si>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</si>
  <si>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</si>
  <si>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</si>
  <si>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</si>
  <si>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</si>
  <si>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</si>
  <si>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</si>
  <si>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</si>
  <si>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</si>
  <si>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</si>
  <si>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</si>
  <si>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</si>
  <si>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</si>
  <si>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</si>
  <si>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</si>
  <si>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</si>
  <si>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</si>
  <si>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</si>
  <si>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</si>
  <si>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</si>
  <si>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</si>
  <si>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</si>
  <si>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</si>
  <si>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</si>
  <si>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</si>
  <si>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</si>
  <si>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</si>
  <si>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</si>
  <si>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</si>
  <si>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</si>
  <si>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</si>
  <si>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</si>
  <si>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</si>
  <si>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</si>
  <si>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</si>
  <si>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</si>
  <si>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</si>
  <si>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</si>
  <si>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</si>
  <si>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</si>
  <si>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</si>
  <si>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</si>
  <si>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</si>
  <si>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</si>
  <si>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</si>
  <si>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</si>
  <si>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</si>
  <si>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</si>
  <si>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</si>
  <si>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</si>
  <si>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</si>
  <si>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</si>
  <si>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</si>
  <si>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</si>
  <si>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</si>
  <si>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</si>
  <si>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</si>
  <si>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</si>
  <si>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</si>
  <si>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</si>
  <si>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</si>
  <si>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</si>
  <si>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</si>
  <si>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</si>
  <si>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</si>
  <si>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</si>
  <si>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</si>
  <si>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</si>
  <si>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</si>
  <si>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</si>
  <si>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</si>
  <si>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</si>
  <si>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</si>
  <si>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</si>
  <si>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</si>
  <si>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</si>
  <si>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</si>
  <si>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</si>
  <si>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</si>
  <si>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</si>
  <si>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</si>
  <si>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</si>
  <si>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</si>
  <si>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</si>
  <si>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</si>
  <si>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</si>
  <si>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</si>
  <si>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</si>
  <si>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</si>
  <si>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</si>
  <si>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</si>
  <si>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</si>
  <si>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</si>
  <si>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</si>
  <si>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</si>
  <si>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</si>
  <si>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</si>
  <si>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</si>
  <si>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</si>
  <si>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</si>
  <si>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</si>
  <si>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</si>
  <si>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</si>
  <si>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</si>
  <si>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</si>
  <si>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</si>
  <si>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</si>
  <si>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</si>
  <si>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</si>
  <si>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</si>
  <si>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</si>
  <si>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</si>
  <si>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</si>
  <si>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</si>
  <si>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</si>
  <si>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</si>
  <si>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</si>
  <si>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</si>
  <si>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</si>
  <si>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</si>
  <si>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</si>
  <si>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</si>
  <si>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</si>
  <si>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</si>
  <si>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</si>
  <si>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</si>
  <si>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</si>
  <si>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</si>
  <si>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</si>
  <si>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</si>
  <si>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</si>
  <si>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</si>
  <si>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</si>
  <si>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</si>
  <si>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</si>
  <si>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</si>
  <si>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</si>
  <si>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</si>
  <si>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</si>
  <si>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</si>
  <si>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</si>
  <si>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</si>
  <si>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</si>
  <si>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</si>
  <si>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</si>
  <si>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</si>
  <si>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</si>
  <si>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</si>
  <si>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</si>
  <si>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</si>
  <si>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</si>
  <si>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</si>
  <si>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</si>
  <si>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</si>
  <si>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</si>
  <si>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</si>
  <si>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</si>
  <si>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</si>
  <si>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</si>
  <si>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</si>
  <si>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</si>
  <si>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</si>
  <si>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</si>
  <si>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</si>
  <si>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</si>
  <si>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</si>
  <si>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</si>
  <si>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</si>
  <si>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</si>
  <si>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</si>
  <si>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</si>
  <si>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</si>
  <si>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</si>
  <si>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</si>
  <si>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</si>
  <si>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</si>
  <si>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</si>
  <si>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</si>
  <si>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</si>
  <si>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</si>
  <si>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</si>
  <si>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</si>
  <si>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</si>
  <si>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</si>
  <si>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</si>
  <si>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</si>
  <si>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</si>
  <si>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</si>
  <si>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</si>
  <si>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</si>
  <si>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</si>
  <si>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</si>
  <si>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</si>
  <si>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</si>
  <si>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</si>
  <si>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</si>
  <si>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</si>
  <si>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</si>
  <si>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</si>
  <si>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</si>
  <si>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</si>
  <si>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</si>
  <si>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</si>
  <si>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</si>
  <si>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</si>
  <si>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</si>
  <si>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</si>
  <si>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</si>
  <si>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</si>
  <si>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</si>
  <si>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</si>
  <si>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</si>
  <si>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</si>
  <si>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</si>
  <si>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2019</t>
  </si>
  <si>
    <t>Year 2021</t>
  </si>
  <si>
    <t>Year 2020</t>
  </si>
  <si>
    <t>Docket No. ER14-1661</t>
  </si>
  <si>
    <t>Deferred Tax Liability on Pre-Commercial Regulatory Asset</t>
  </si>
  <si>
    <t>Regulatory asset for carrying charges on pre-commercial costs not recognized for tax purposes.</t>
  </si>
  <si>
    <t>Outside Services Employed</t>
  </si>
  <si>
    <t>Pre-commercial expenses regulatory asset amortization</t>
  </si>
  <si>
    <t>Abandoned Construction Work In Process</t>
  </si>
  <si>
    <t>Deferred Tax Liability on Construction Work In Progress Write Offs to Regulatory Assets</t>
  </si>
  <si>
    <t>BHE U.S. Transmission</t>
  </si>
  <si>
    <t>Facilities</t>
  </si>
  <si>
    <t>Tax</t>
  </si>
  <si>
    <t>Corp Legal &amp; Accting</t>
  </si>
  <si>
    <t>Annual Update for Transmission Revenue Requirement</t>
  </si>
  <si>
    <t>Gates-Gregg Project</t>
  </si>
  <si>
    <t>ER19-1384</t>
  </si>
  <si>
    <t>ER19-2314</t>
  </si>
  <si>
    <t>5 years</t>
  </si>
  <si>
    <t>MidAmerican Energy</t>
  </si>
  <si>
    <t>2020</t>
  </si>
  <si>
    <t>Berkshire Hathaway Energy Company</t>
  </si>
  <si>
    <t>Deferred Tax Liability on Annual Transmission Revenue Requirement</t>
  </si>
  <si>
    <t>Central Valley Power Connect unamortized regulatory asset balance</t>
  </si>
  <si>
    <t>Central Valley Power Connect unamortized abandoned plant balance</t>
  </si>
  <si>
    <t>Central Valley Power Connect CWIP balance</t>
  </si>
  <si>
    <t>Central Valley Power Connect plant-in-service balance</t>
  </si>
  <si>
    <t>Central Valley Power Connect</t>
  </si>
  <si>
    <t>ER19-2314-000</t>
  </si>
  <si>
    <t>Admin</t>
  </si>
  <si>
    <t>For the 12 months ended 12/31/2021</t>
  </si>
  <si>
    <t>2021</t>
  </si>
  <si>
    <t>California 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</si>
</sst>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s>
  <fonts count="128">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Arial Narrow"/>
      <family val="2"/>
    </font>
    <font>
      <sz val="8"/>
      <color rgb="FFFF0000"/>
      <name val="Arial"/>
      <family val="2"/>
    </font>
    <font>
      <sz val="10"/>
      <color rgb="FFFF0000"/>
      <name val="Times New Roman"/>
      <family val="1"/>
    </font>
  </fonts>
  <fills count="1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47">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178" fontId="48" fillId="6" borderId="0" xfId="64" applyNumberFormat="1" applyFont="1" applyFill="1" applyProtection="1">
      <protection locked="0"/>
    </xf>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0" fontId="91" fillId="0" borderId="0" xfId="55" applyFont="1" applyFill="1"/>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172" fontId="69" fillId="0" borderId="0" xfId="0" applyFont="1" applyBorder="1" applyAlignment="1">
      <alignment vertical="center"/>
    </xf>
    <xf numFmtId="0" fontId="69" fillId="0" borderId="0" xfId="55" applyFont="1" applyFill="1" applyBorder="1"/>
    <xf numFmtId="173" fontId="69" fillId="0" borderId="0" xfId="32" applyNumberFormat="1" applyFont="1" applyFill="1" applyBorder="1"/>
    <xf numFmtId="172" fontId="106" fillId="0" borderId="0" xfId="116" applyFont="1" applyBorder="1" applyAlignment="1">
      <alignment vertical="center"/>
    </xf>
    <xf numFmtId="172" fontId="106" fillId="12" borderId="0" xfId="116" applyFont="1" applyFill="1" applyBorder="1" applyAlignment="1">
      <alignment vertical="center"/>
    </xf>
    <xf numFmtId="0" fontId="69" fillId="12" borderId="0" xfId="55" applyFont="1" applyFill="1" applyBorder="1"/>
    <xf numFmtId="173" fontId="69" fillId="12" borderId="0" xfId="32" applyNumberFormat="1"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1"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10" fillId="0" borderId="0" xfId="0" applyNumberFormat="1" applyFont="1" applyBorder="1" applyAlignment="1"/>
    <xf numFmtId="170" fontId="98" fillId="0" borderId="0" xfId="64" applyNumberFormat="1" applyFont="1" applyBorder="1" applyAlignment="1"/>
    <xf numFmtId="169" fontId="109" fillId="0" borderId="0" xfId="0" applyNumberFormat="1" applyFont="1" applyBorder="1" applyAlignment="1"/>
    <xf numFmtId="172" fontId="108"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1"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5"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7"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7"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7" fillId="0" borderId="0" xfId="32" applyNumberFormat="1" applyFont="1" applyFill="1" applyAlignment="1">
      <alignment wrapText="1"/>
    </xf>
    <xf numFmtId="43" fontId="117"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2" fillId="0" borderId="0" xfId="122" applyFont="1" applyAlignment="1">
      <alignment horizontal="center"/>
    </xf>
    <xf numFmtId="173" fontId="112" fillId="0" borderId="0" xfId="123" applyNumberFormat="1" applyFont="1" applyAlignment="1">
      <alignment horizontal="center"/>
    </xf>
    <xf numFmtId="10" fontId="112" fillId="0" borderId="0" xfId="124" applyNumberFormat="1" applyFont="1" applyAlignment="1">
      <alignment horizontal="center"/>
    </xf>
    <xf numFmtId="10" fontId="118" fillId="0" borderId="0" xfId="124" applyNumberFormat="1" applyFont="1" applyAlignment="1">
      <alignment horizontal="center"/>
    </xf>
    <xf numFmtId="173" fontId="118" fillId="0" borderId="0" xfId="123" applyNumberFormat="1" applyFont="1" applyAlignment="1">
      <alignment horizontal="center"/>
    </xf>
    <xf numFmtId="0" fontId="118" fillId="0" borderId="0" xfId="122" applyFont="1" applyAlignment="1">
      <alignment horizontal="center"/>
    </xf>
    <xf numFmtId="49" fontId="112" fillId="0" borderId="0" xfId="123" applyNumberFormat="1" applyFont="1" applyBorder="1" applyAlignment="1">
      <alignment horizontal="center" wrapText="1"/>
    </xf>
    <xf numFmtId="0" fontId="113" fillId="0" borderId="0" xfId="122" applyFont="1" applyAlignment="1">
      <alignment horizontal="center" wrapText="1"/>
    </xf>
    <xf numFmtId="49" fontId="112" fillId="12" borderId="0" xfId="123" applyNumberFormat="1" applyFont="1" applyFill="1" applyBorder="1" applyAlignment="1">
      <alignment horizontal="center" wrapText="1"/>
    </xf>
    <xf numFmtId="0" fontId="113" fillId="0" borderId="55" xfId="122" applyFont="1" applyBorder="1" applyAlignment="1"/>
    <xf numFmtId="173" fontId="113" fillId="0" borderId="55" xfId="123" applyNumberFormat="1" applyFont="1" applyBorder="1"/>
    <xf numFmtId="173" fontId="113" fillId="0" borderId="55" xfId="123" applyNumberFormat="1" applyFont="1" applyBorder="1" applyAlignment="1"/>
    <xf numFmtId="173" fontId="113" fillId="0" borderId="55" xfId="123" applyNumberFormat="1" applyFont="1" applyBorder="1" applyAlignment="1">
      <alignment horizontal="center"/>
    </xf>
    <xf numFmtId="10" fontId="113" fillId="0" borderId="55" xfId="122" applyNumberFormat="1" applyFont="1" applyBorder="1"/>
    <xf numFmtId="0" fontId="113" fillId="0" borderId="0" xfId="122" applyFont="1"/>
    <xf numFmtId="0" fontId="113" fillId="0" borderId="56" xfId="122" applyFont="1" applyBorder="1" applyAlignment="1"/>
    <xf numFmtId="173" fontId="113" fillId="0" borderId="56" xfId="123" applyNumberFormat="1" applyFont="1" applyBorder="1"/>
    <xf numFmtId="173" fontId="113" fillId="0" borderId="56" xfId="123" applyNumberFormat="1" applyFont="1" applyBorder="1" applyAlignment="1"/>
    <xf numFmtId="173" fontId="113" fillId="12" borderId="56" xfId="123" applyNumberFormat="1" applyFont="1" applyFill="1" applyBorder="1"/>
    <xf numFmtId="0" fontId="113" fillId="0" borderId="56" xfId="122" applyFont="1" applyBorder="1" applyAlignment="1">
      <alignment horizontal="center"/>
    </xf>
    <xf numFmtId="0" fontId="113" fillId="12" borderId="56" xfId="122" applyFont="1" applyFill="1" applyBorder="1" applyAlignment="1"/>
    <xf numFmtId="43" fontId="113" fillId="0" borderId="56" xfId="123" applyFont="1" applyBorder="1"/>
    <xf numFmtId="10" fontId="113" fillId="0" borderId="56" xfId="122" applyNumberFormat="1" applyFont="1" applyBorder="1"/>
    <xf numFmtId="43" fontId="113" fillId="0" borderId="56" xfId="122" applyNumberFormat="1" applyFont="1" applyBorder="1"/>
    <xf numFmtId="173" fontId="113" fillId="0" borderId="57" xfId="123" applyNumberFormat="1" applyFont="1" applyBorder="1" applyAlignment="1"/>
    <xf numFmtId="173" fontId="113" fillId="0" borderId="57" xfId="123" applyNumberFormat="1" applyFont="1" applyBorder="1"/>
    <xf numFmtId="0" fontId="113" fillId="0" borderId="57" xfId="122" applyFont="1" applyBorder="1" applyAlignment="1"/>
    <xf numFmtId="173" fontId="113" fillId="12" borderId="57" xfId="123" applyNumberFormat="1" applyFont="1" applyFill="1" applyBorder="1"/>
    <xf numFmtId="0" fontId="113" fillId="0" borderId="57" xfId="122" applyFont="1" applyBorder="1" applyAlignment="1">
      <alignment horizontal="center"/>
    </xf>
    <xf numFmtId="0" fontId="113" fillId="12" borderId="57" xfId="122" applyFont="1" applyFill="1" applyBorder="1" applyAlignment="1"/>
    <xf numFmtId="43" fontId="113" fillId="0" borderId="57" xfId="123" applyFont="1" applyBorder="1"/>
    <xf numFmtId="10" fontId="113" fillId="0" borderId="57" xfId="122" applyNumberFormat="1" applyFont="1" applyBorder="1"/>
    <xf numFmtId="43" fontId="113" fillId="0" borderId="57" xfId="122" applyNumberFormat="1" applyFont="1" applyBorder="1"/>
    <xf numFmtId="173" fontId="113" fillId="0" borderId="57" xfId="122" applyNumberFormat="1" applyFont="1" applyBorder="1" applyAlignment="1"/>
    <xf numFmtId="0" fontId="113" fillId="0" borderId="0" xfId="122" applyFont="1" applyAlignment="1"/>
    <xf numFmtId="174" fontId="113" fillId="0" borderId="2" xfId="125" applyNumberFormat="1" applyFont="1" applyBorder="1"/>
    <xf numFmtId="0" fontId="113" fillId="0" borderId="0" xfId="122" applyFont="1" applyAlignment="1">
      <alignment horizontal="left"/>
    </xf>
    <xf numFmtId="174" fontId="113" fillId="0" borderId="2" xfId="125" applyNumberFormat="1" applyFont="1" applyBorder="1" applyAlignment="1"/>
    <xf numFmtId="43" fontId="113" fillId="0" borderId="0" xfId="122" applyNumberFormat="1" applyFont="1" applyBorder="1" applyAlignment="1"/>
    <xf numFmtId="0" fontId="113" fillId="0" borderId="0" xfId="122" applyFont="1" applyAlignment="1">
      <alignment horizontal="right"/>
    </xf>
    <xf numFmtId="173" fontId="113" fillId="0" borderId="0" xfId="123" applyNumberFormat="1" applyFont="1"/>
    <xf numFmtId="0" fontId="113" fillId="0" borderId="0" xfId="122" applyFont="1" applyAlignment="1">
      <alignment horizontal="center"/>
    </xf>
    <xf numFmtId="10" fontId="113" fillId="0" borderId="0" xfId="124" applyNumberFormat="1" applyFont="1"/>
    <xf numFmtId="173" fontId="113" fillId="0" borderId="0" xfId="123" applyNumberFormat="1" applyFont="1" applyAlignment="1"/>
    <xf numFmtId="49" fontId="113" fillId="0" borderId="0" xfId="122" applyNumberFormat="1" applyFont="1" applyAlignment="1"/>
    <xf numFmtId="0" fontId="113" fillId="0" borderId="0" xfId="122" applyFont="1" applyAlignment="1">
      <alignment vertical="top" wrapText="1"/>
    </xf>
    <xf numFmtId="49" fontId="113" fillId="0" borderId="0" xfId="122" applyNumberFormat="1" applyFont="1" applyAlignment="1">
      <alignment horizontal="right" vertical="top" wrapText="1"/>
    </xf>
    <xf numFmtId="0" fontId="113" fillId="0" borderId="0" xfId="122" applyFont="1" applyAlignment="1">
      <alignment horizontal="left" vertical="top" wrapText="1"/>
    </xf>
    <xf numFmtId="49" fontId="113" fillId="0" borderId="0" xfId="122" applyNumberFormat="1" applyFont="1" applyAlignment="1">
      <alignment horizontal="right"/>
    </xf>
    <xf numFmtId="0" fontId="113" fillId="0" borderId="0" xfId="122" applyFont="1" applyAlignment="1">
      <alignment horizontal="left" vertical="top"/>
    </xf>
    <xf numFmtId="49" fontId="112" fillId="0" borderId="0" xfId="122" applyNumberFormat="1" applyFont="1" applyAlignment="1">
      <alignment horizontal="center"/>
    </xf>
    <xf numFmtId="49" fontId="112" fillId="0" borderId="0" xfId="122" applyNumberFormat="1" applyFont="1" applyBorder="1" applyAlignment="1">
      <alignment horizontal="center" wrapText="1"/>
    </xf>
    <xf numFmtId="49" fontId="112" fillId="12" borderId="0" xfId="122" applyNumberFormat="1" applyFont="1" applyFill="1" applyBorder="1" applyAlignment="1">
      <alignment horizontal="center" wrapText="1"/>
    </xf>
    <xf numFmtId="49" fontId="113" fillId="12" borderId="58" xfId="123" applyNumberFormat="1" applyFont="1" applyFill="1" applyBorder="1" applyAlignment="1">
      <alignment horizontal="left"/>
    </xf>
    <xf numFmtId="173" fontId="113" fillId="12" borderId="58" xfId="123" applyNumberFormat="1" applyFont="1" applyFill="1" applyBorder="1"/>
    <xf numFmtId="173" fontId="113" fillId="0" borderId="58" xfId="123" applyNumberFormat="1" applyFont="1" applyBorder="1"/>
    <xf numFmtId="10" fontId="113" fillId="12" borderId="58" xfId="124" applyNumberFormat="1" applyFont="1" applyFill="1" applyBorder="1"/>
    <xf numFmtId="0" fontId="113" fillId="0" borderId="58" xfId="122" applyFont="1" applyBorder="1" applyAlignment="1"/>
    <xf numFmtId="173" fontId="113" fillId="0" borderId="58" xfId="122" applyNumberFormat="1" applyFont="1" applyBorder="1"/>
    <xf numFmtId="49" fontId="113" fillId="12" borderId="56" xfId="123" applyNumberFormat="1" applyFont="1" applyFill="1" applyBorder="1"/>
    <xf numFmtId="10" fontId="113" fillId="12" borderId="56" xfId="124" applyNumberFormat="1" applyFont="1" applyFill="1" applyBorder="1"/>
    <xf numFmtId="49" fontId="113" fillId="0" borderId="0" xfId="122" applyNumberFormat="1" applyFont="1"/>
    <xf numFmtId="173" fontId="113" fillId="0" borderId="0" xfId="123" applyNumberFormat="1" applyFont="1" applyBorder="1" applyAlignment="1"/>
    <xf numFmtId="174" fontId="113" fillId="0" borderId="57" xfId="125" applyNumberFormat="1" applyFont="1" applyBorder="1" applyAlignment="1"/>
    <xf numFmtId="174" fontId="112" fillId="0" borderId="59" xfId="125" applyNumberFormat="1" applyFont="1" applyBorder="1" applyAlignment="1"/>
    <xf numFmtId="49" fontId="113" fillId="0" borderId="0" xfId="123" applyNumberFormat="1" applyFont="1" applyAlignment="1">
      <alignment horizontal="right"/>
    </xf>
    <xf numFmtId="49" fontId="113" fillId="0" borderId="0" xfId="123" applyNumberFormat="1" applyFont="1" applyAlignment="1">
      <alignment vertical="top" wrapText="1"/>
    </xf>
    <xf numFmtId="49" fontId="113" fillId="0" borderId="0" xfId="123" applyNumberFormat="1" applyFont="1" applyAlignment="1">
      <alignment horizontal="left" vertical="top" wrapText="1"/>
    </xf>
    <xf numFmtId="49" fontId="113" fillId="0" borderId="0" xfId="122" applyNumberFormat="1" applyFont="1" applyAlignment="1">
      <alignment vertical="top" wrapText="1"/>
    </xf>
    <xf numFmtId="0" fontId="113" fillId="12" borderId="56" xfId="122" applyFont="1" applyFill="1" applyBorder="1"/>
    <xf numFmtId="0" fontId="112" fillId="0" borderId="6" xfId="122" applyFont="1" applyBorder="1" applyAlignment="1">
      <alignment horizontal="center" wrapText="1"/>
    </xf>
    <xf numFmtId="10" fontId="113" fillId="12" borderId="55" xfId="124" applyNumberFormat="1" applyFont="1" applyFill="1" applyBorder="1"/>
    <xf numFmtId="10" fontId="113" fillId="12" borderId="57" xfId="124" applyNumberFormat="1" applyFont="1" applyFill="1" applyBorder="1"/>
    <xf numFmtId="10" fontId="113" fillId="12" borderId="57" xfId="122" applyNumberFormat="1" applyFont="1" applyFill="1" applyBorder="1"/>
    <xf numFmtId="0" fontId="113" fillId="12" borderId="56" xfId="122" applyFont="1" applyFill="1" applyBorder="1" applyAlignment="1">
      <alignment horizontal="right"/>
    </xf>
    <xf numFmtId="173" fontId="113" fillId="12" borderId="57" xfId="122" applyNumberFormat="1" applyFont="1" applyFill="1" applyBorder="1" applyAlignment="1">
      <alignment horizontal="right"/>
    </xf>
    <xf numFmtId="0" fontId="113" fillId="12" borderId="57" xfId="122" applyFont="1" applyFill="1" applyBorder="1" applyAlignment="1">
      <alignment horizontal="right"/>
    </xf>
    <xf numFmtId="43" fontId="113"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2" fillId="0" borderId="0" xfId="122" applyFont="1" applyBorder="1" applyAlignment="1">
      <alignment horizontal="center" wrapText="1"/>
    </xf>
    <xf numFmtId="173" fontId="113" fillId="0" borderId="58" xfId="123" applyNumberFormat="1" applyFont="1" applyBorder="1" applyAlignment="1"/>
    <xf numFmtId="173" fontId="113" fillId="0" borderId="56" xfId="122" applyNumberFormat="1" applyFont="1" applyBorder="1"/>
    <xf numFmtId="173" fontId="113" fillId="0" borderId="59" xfId="122" applyNumberFormat="1" applyFont="1" applyBorder="1"/>
    <xf numFmtId="43" fontId="113" fillId="0" borderId="0" xfId="123" applyFont="1" applyBorder="1" applyAlignment="1"/>
    <xf numFmtId="174" fontId="113" fillId="0" borderId="0" xfId="125" applyNumberFormat="1" applyFont="1" applyBorder="1" applyAlignment="1"/>
    <xf numFmtId="0" fontId="113" fillId="0" borderId="0" xfId="122" applyFont="1" applyAlignment="1">
      <alignment vertical="top"/>
    </xf>
    <xf numFmtId="49" fontId="113" fillId="0" borderId="0" xfId="122" applyNumberFormat="1" applyFont="1" applyAlignment="1">
      <alignment horizontal="right" vertical="top"/>
    </xf>
    <xf numFmtId="43" fontId="113" fillId="0" borderId="0" xfId="123" applyFont="1"/>
    <xf numFmtId="173" fontId="112" fillId="0" borderId="2" xfId="123" applyNumberFormat="1" applyFont="1" applyBorder="1" applyAlignment="1">
      <alignment horizontal="right"/>
    </xf>
    <xf numFmtId="174" fontId="112" fillId="0" borderId="2" xfId="125" applyNumberFormat="1" applyFont="1" applyBorder="1" applyAlignment="1"/>
    <xf numFmtId="49" fontId="113" fillId="0" borderId="0" xfId="123" applyNumberFormat="1" applyFont="1" applyAlignment="1">
      <alignment horizontal="right" vertical="top" wrapText="1"/>
    </xf>
    <xf numFmtId="9" fontId="113" fillId="13" borderId="58" xfId="124" applyNumberFormat="1" applyFont="1" applyFill="1" applyBorder="1"/>
    <xf numFmtId="9" fontId="113" fillId="13" borderId="56" xfId="124" applyNumberFormat="1" applyFont="1" applyFill="1" applyBorder="1"/>
    <xf numFmtId="0" fontId="113" fillId="13" borderId="56" xfId="122" applyFont="1" applyFill="1" applyBorder="1"/>
    <xf numFmtId="0" fontId="113" fillId="13" borderId="58" xfId="122" applyFont="1" applyFill="1" applyBorder="1"/>
    <xf numFmtId="14" fontId="113" fillId="13" borderId="58" xfId="122" applyNumberFormat="1" applyFont="1" applyFill="1" applyBorder="1"/>
    <xf numFmtId="0" fontId="113" fillId="13" borderId="56" xfId="122" applyFont="1" applyFill="1" applyBorder="1" applyAlignment="1">
      <alignment horizontal="right"/>
    </xf>
    <xf numFmtId="173" fontId="113" fillId="13" borderId="58" xfId="123" applyNumberFormat="1" applyFont="1" applyFill="1" applyBorder="1"/>
    <xf numFmtId="0" fontId="113" fillId="13" borderId="55" xfId="122" applyFont="1" applyFill="1" applyBorder="1"/>
    <xf numFmtId="173" fontId="113" fillId="13" borderId="56" xfId="123" applyNumberFormat="1" applyFont="1" applyFill="1" applyBorder="1"/>
    <xf numFmtId="173" fontId="113" fillId="13" borderId="56" xfId="123" applyNumberFormat="1" applyFont="1" applyFill="1" applyBorder="1" applyAlignment="1"/>
    <xf numFmtId="173" fontId="113" fillId="13" borderId="56" xfId="123" applyNumberFormat="1" applyFont="1" applyFill="1" applyBorder="1" applyAlignment="1">
      <alignment horizontal="center"/>
    </xf>
    <xf numFmtId="49" fontId="112" fillId="13" borderId="6" xfId="122" applyNumberFormat="1" applyFont="1" applyFill="1" applyBorder="1" applyAlignment="1">
      <alignment horizontal="center" wrapText="1"/>
    </xf>
    <xf numFmtId="49" fontId="112" fillId="13" borderId="6" xfId="123" applyNumberFormat="1" applyFont="1" applyFill="1" applyBorder="1" applyAlignment="1">
      <alignment horizontal="center" wrapText="1"/>
    </xf>
    <xf numFmtId="49" fontId="112" fillId="13" borderId="0" xfId="122" applyNumberFormat="1" applyFont="1" applyFill="1" applyBorder="1" applyAlignment="1">
      <alignment horizontal="center" wrapText="1"/>
    </xf>
    <xf numFmtId="49" fontId="112" fillId="13" borderId="0" xfId="123" applyNumberFormat="1" applyFont="1" applyFill="1" applyBorder="1" applyAlignment="1">
      <alignment horizontal="center" wrapText="1"/>
    </xf>
    <xf numFmtId="173" fontId="113" fillId="13" borderId="57" xfId="123" applyNumberFormat="1" applyFont="1" applyFill="1" applyBorder="1"/>
    <xf numFmtId="49" fontId="113" fillId="13" borderId="58" xfId="123" applyNumberFormat="1" applyFont="1" applyFill="1" applyBorder="1" applyAlignment="1">
      <alignment horizontal="left"/>
    </xf>
    <xf numFmtId="49" fontId="113" fillId="13" borderId="56" xfId="123" applyNumberFormat="1" applyFont="1" applyFill="1" applyBorder="1"/>
    <xf numFmtId="172" fontId="57" fillId="0" borderId="4" xfId="0" applyFont="1" applyFill="1" applyBorder="1" applyAlignment="1"/>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1" fillId="0" borderId="0" xfId="0" applyFont="1" applyFill="1"/>
    <xf numFmtId="172" fontId="122" fillId="0" borderId="0" xfId="0" applyFont="1" applyFill="1"/>
    <xf numFmtId="1" fontId="122"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173" fontId="125" fillId="12" borderId="0" xfId="32" applyNumberFormat="1" applyFont="1" applyFill="1" applyBorder="1"/>
    <xf numFmtId="0" fontId="2" fillId="12" borderId="55" xfId="122" applyFont="1" applyFill="1" applyBorder="1"/>
    <xf numFmtId="173" fontId="2" fillId="12" borderId="55" xfId="123" applyNumberFormat="1" applyFont="1" applyFill="1" applyBorder="1"/>
    <xf numFmtId="173" fontId="2" fillId="12" borderId="55" xfId="123" applyNumberFormat="1" applyFont="1" applyFill="1" applyBorder="1" applyAlignment="1"/>
    <xf numFmtId="0" fontId="2" fillId="12" borderId="55" xfId="122" applyFont="1" applyFill="1" applyBorder="1" applyAlignment="1">
      <alignment horizontal="right"/>
    </xf>
    <xf numFmtId="43" fontId="40" fillId="0" borderId="0" xfId="32" applyNumberFormat="1" applyFont="1"/>
    <xf numFmtId="0" fontId="11" fillId="13" borderId="0" xfId="60" applyNumberFormat="1" applyFont="1" applyFill="1" applyAlignment="1">
      <alignment horizontal="right"/>
    </xf>
    <xf numFmtId="43" fontId="65" fillId="0" borderId="21" xfId="32" applyNumberFormat="1" applyFont="1" applyBorder="1"/>
    <xf numFmtId="43" fontId="65" fillId="0" borderId="21" xfId="32" applyNumberFormat="1" applyFont="1" applyFill="1" applyBorder="1"/>
    <xf numFmtId="43" fontId="11" fillId="0" borderId="0" xfId="32" applyNumberFormat="1" applyFont="1" applyAlignment="1"/>
    <xf numFmtId="173" fontId="106" fillId="0" borderId="0" xfId="32" applyNumberFormat="1" applyFont="1" applyBorder="1"/>
    <xf numFmtId="173" fontId="106" fillId="0" borderId="3" xfId="32" applyNumberFormat="1" applyFont="1" applyBorder="1"/>
    <xf numFmtId="173" fontId="106" fillId="0" borderId="9" xfId="32" applyNumberFormat="1" applyFont="1" applyBorder="1"/>
    <xf numFmtId="0" fontId="4" fillId="12" borderId="0" xfId="120" applyFont="1" applyFill="1"/>
    <xf numFmtId="173" fontId="2" fillId="12" borderId="56" xfId="123" applyNumberFormat="1" applyFont="1" applyFill="1" applyBorder="1"/>
    <xf numFmtId="0" fontId="2" fillId="0" borderId="55" xfId="122" applyFont="1" applyBorder="1" applyAlignment="1"/>
    <xf numFmtId="0" fontId="2" fillId="12" borderId="56" xfId="122" applyFont="1" applyFill="1" applyBorder="1" applyAlignment="1">
      <alignment horizontal="right"/>
    </xf>
    <xf numFmtId="0" fontId="2" fillId="0" borderId="56" xfId="122" applyFont="1" applyBorder="1" applyAlignment="1"/>
    <xf numFmtId="10" fontId="4" fillId="13" borderId="0" xfId="64" applyNumberFormat="1" applyFont="1" applyFill="1" applyBorder="1" applyAlignment="1"/>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176" fontId="11" fillId="13" borderId="0" xfId="32" applyNumberFormat="1" applyFont="1" applyFill="1" applyAlignment="1"/>
    <xf numFmtId="173" fontId="40" fillId="0" borderId="4" xfId="32" applyNumberFormat="1" applyFont="1" applyFill="1" applyBorder="1" applyAlignment="1">
      <alignment horizontal="center"/>
    </xf>
    <xf numFmtId="173" fontId="40" fillId="0" borderId="0" xfId="32" applyNumberFormat="1" applyFont="1" applyFill="1" applyAlignment="1">
      <alignment horizontal="center"/>
    </xf>
    <xf numFmtId="173" fontId="113" fillId="0" borderId="55" xfId="122" applyNumberFormat="1" applyFont="1" applyBorder="1"/>
    <xf numFmtId="41" fontId="91" fillId="12" borderId="0" xfId="113" applyNumberFormat="1" applyFont="1" applyFill="1"/>
    <xf numFmtId="164" fontId="127" fillId="13" borderId="26" xfId="64" applyNumberFormat="1" applyFont="1" applyFill="1" applyBorder="1"/>
    <xf numFmtId="164" fontId="127" fillId="13" borderId="26" xfId="55" applyNumberFormat="1" applyFont="1" applyFill="1" applyBorder="1"/>
    <xf numFmtId="173" fontId="2" fillId="12" borderId="56" xfId="32" applyNumberFormat="1" applyFont="1" applyFill="1" applyBorder="1" applyAlignment="1"/>
    <xf numFmtId="9" fontId="11" fillId="13" borderId="0" xfId="64" applyFont="1" applyFill="1" applyAlignment="1"/>
    <xf numFmtId="173" fontId="106" fillId="6" borderId="48" xfId="32" applyNumberFormat="1" applyFont="1" applyFill="1" applyBorder="1"/>
    <xf numFmtId="173" fontId="4" fillId="6" borderId="0" xfId="32" applyNumberFormat="1" applyFont="1" applyFill="1" applyBorder="1" applyAlignment="1">
      <alignment horizontal="right"/>
    </xf>
    <xf numFmtId="173" fontId="4" fillId="13" borderId="0" xfId="32" applyNumberFormat="1" applyFont="1" applyFill="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41" fontId="48" fillId="13" borderId="7" xfId="53" applyNumberFormat="1" applyFont="1" applyFill="1" applyBorder="1"/>
    <xf numFmtId="41" fontId="48" fillId="13" borderId="7" xfId="33" applyFont="1" applyFill="1" applyBorder="1"/>
    <xf numFmtId="173" fontId="126" fillId="0" borderId="0" xfId="32" applyNumberFormat="1" applyFont="1" applyAlignment="1">
      <alignment horizontal="left" vertical="top" wrapText="1"/>
    </xf>
    <xf numFmtId="173" fontId="126" fillId="0" borderId="0" xfId="32" applyNumberFormat="1" applyFont="1"/>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51" fillId="7" borderId="15" xfId="55" applyFont="1" applyFill="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51" fillId="7" borderId="14" xfId="55" applyFont="1" applyFill="1" applyBorder="1" applyAlignment="1">
      <alignment horizontal="center" wrapText="1"/>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9" fillId="0" borderId="0" xfId="0" applyFont="1" applyFill="1" applyAlignment="1">
      <alignment horizontal="left" vertical="top" wrapText="1"/>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
    </xf>
    <xf numFmtId="0" fontId="3" fillId="0" borderId="0" xfId="53" applyFont="1" applyFill="1" applyAlignment="1">
      <alignment horizontal="center"/>
    </xf>
    <xf numFmtId="0" fontId="3" fillId="0" borderId="0" xfId="53" applyFont="1" applyFill="1" applyAlignment="1"/>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0" borderId="0" xfId="0" applyFont="1" applyFill="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78" fillId="0" borderId="0" xfId="0" applyFont="1" applyFill="1" applyAlignment="1">
      <alignment horizontal="center"/>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0" fillId="0" borderId="0" xfId="0" applyFont="1" applyFill="1" applyAlignment="1">
      <alignment horizontal="center"/>
    </xf>
    <xf numFmtId="172" fontId="123"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3" fillId="0" borderId="0" xfId="122" applyFont="1" applyAlignment="1">
      <alignment horizontal="left" vertical="top" wrapText="1"/>
    </xf>
    <xf numFmtId="0" fontId="112" fillId="0" borderId="6" xfId="122" applyFont="1" applyBorder="1" applyAlignment="1">
      <alignment horizontal="center" wrapText="1"/>
    </xf>
    <xf numFmtId="173" fontId="113" fillId="0" borderId="2" xfId="123" applyNumberFormat="1" applyFont="1" applyBorder="1" applyAlignment="1">
      <alignment horizontal="right"/>
    </xf>
    <xf numFmtId="49" fontId="113" fillId="0" borderId="0" xfId="122" applyNumberFormat="1" applyFont="1" applyAlignment="1">
      <alignment horizontal="left" vertical="top" wrapText="1"/>
    </xf>
    <xf numFmtId="49" fontId="113" fillId="0" borderId="0" xfId="123" applyNumberFormat="1" applyFont="1" applyAlignment="1">
      <alignment horizontal="left" vertical="top" wrapText="1"/>
    </xf>
    <xf numFmtId="173" fontId="113" fillId="0" borderId="57" xfId="123" applyNumberFormat="1" applyFont="1" applyBorder="1" applyAlignment="1">
      <alignment horizontal="right"/>
    </xf>
    <xf numFmtId="0" fontId="112" fillId="0" borderId="0" xfId="122" applyFont="1" applyBorder="1" applyAlignment="1">
      <alignment horizontal="left" wrapText="1"/>
    </xf>
    <xf numFmtId="0" fontId="112" fillId="0" borderId="6" xfId="122" applyFont="1" applyBorder="1" applyAlignment="1">
      <alignment horizontal="left" wrapText="1"/>
    </xf>
    <xf numFmtId="43" fontId="113" fillId="0" borderId="0" xfId="123" applyFont="1" applyAlignment="1">
      <alignment horizontal="right"/>
    </xf>
    <xf numFmtId="0" fontId="112" fillId="0" borderId="0" xfId="122" applyFont="1" applyBorder="1" applyAlignment="1">
      <alignment horizontal="center" wrapText="1"/>
    </xf>
    <xf numFmtId="43" fontId="113" fillId="0" borderId="57" xfId="123" applyFont="1" applyBorder="1" applyAlignment="1">
      <alignment horizontal="right"/>
    </xf>
    <xf numFmtId="173" fontId="113"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6" fillId="0" borderId="0" xfId="113" applyFont="1" applyAlignment="1">
      <alignment wrapText="1"/>
    </xf>
    <xf numFmtId="172" fontId="116" fillId="0" borderId="0" xfId="113" applyFont="1" applyAlignment="1">
      <alignment horizontal="left"/>
    </xf>
    <xf numFmtId="172" fontId="4" fillId="0" borderId="4" xfId="113" applyFont="1" applyFill="1" applyBorder="1" applyAlignment="1">
      <alignment horizontal="center"/>
    </xf>
  </cellXfs>
  <cellStyles count="126">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5L 2" xfId="117" xr:uid="{00000000-0005-0000-0000-000017000000}"/>
    <cellStyle name="C06A" xfId="24" xr:uid="{00000000-0005-0000-0000-000018000000}"/>
    <cellStyle name="C06B" xfId="25" xr:uid="{00000000-0005-0000-0000-000019000000}"/>
    <cellStyle name="C06H" xfId="26" xr:uid="{00000000-0005-0000-0000-00001A000000}"/>
    <cellStyle name="C06L" xfId="27" xr:uid="{00000000-0005-0000-0000-00001B000000}"/>
    <cellStyle name="C07A" xfId="28" xr:uid="{00000000-0005-0000-0000-00001C000000}"/>
    <cellStyle name="C07B" xfId="29" xr:uid="{00000000-0005-0000-0000-00001D000000}"/>
    <cellStyle name="C07H" xfId="30" xr:uid="{00000000-0005-0000-0000-00001E000000}"/>
    <cellStyle name="C07L" xfId="31" xr:uid="{00000000-0005-0000-0000-00001F000000}"/>
    <cellStyle name="Comma" xfId="32" builtinId="3"/>
    <cellStyle name="Comma [0]" xfId="33" builtinId="6"/>
    <cellStyle name="Comma 11" xfId="112" xr:uid="{00000000-0005-0000-0000-000022000000}"/>
    <cellStyle name="Comma 2" xfId="34" xr:uid="{00000000-0005-0000-0000-000023000000}"/>
    <cellStyle name="Comma 2 2" xfId="35" xr:uid="{00000000-0005-0000-0000-000024000000}"/>
    <cellStyle name="Comma 3" xfId="36" xr:uid="{00000000-0005-0000-0000-000025000000}"/>
    <cellStyle name="Comma 3 2" xfId="37" xr:uid="{00000000-0005-0000-0000-000026000000}"/>
    <cellStyle name="Comma 4" xfId="38" xr:uid="{00000000-0005-0000-0000-000027000000}"/>
    <cellStyle name="Comma 5" xfId="115" xr:uid="{00000000-0005-0000-0000-000028000000}"/>
    <cellStyle name="Comma 5 2" xfId="121" xr:uid="{00000000-0005-0000-0000-000029000000}"/>
    <cellStyle name="Comma 6" xfId="123" xr:uid="{00000000-0005-0000-0000-00002A000000}"/>
    <cellStyle name="Comma0" xfId="39" xr:uid="{00000000-0005-0000-0000-00002B000000}"/>
    <cellStyle name="Config Data" xfId="40" xr:uid="{00000000-0005-0000-0000-00002C000000}"/>
    <cellStyle name="Currency" xfId="41" builtinId="4"/>
    <cellStyle name="Currency 2" xfId="42" xr:uid="{00000000-0005-0000-0000-00002E000000}"/>
    <cellStyle name="Currency 2 2" xfId="43" xr:uid="{00000000-0005-0000-0000-00002F000000}"/>
    <cellStyle name="Currency 3" xfId="44" xr:uid="{00000000-0005-0000-0000-000030000000}"/>
    <cellStyle name="Currency 3 2" xfId="45" xr:uid="{00000000-0005-0000-0000-000031000000}"/>
    <cellStyle name="Currency 4" xfId="125" xr:uid="{00000000-0005-0000-0000-000032000000}"/>
    <cellStyle name="Currency0" xfId="46" xr:uid="{00000000-0005-0000-0000-000033000000}"/>
    <cellStyle name="Date" xfId="47" xr:uid="{00000000-0005-0000-0000-000034000000}"/>
    <cellStyle name="Fixed" xfId="48" xr:uid="{00000000-0005-0000-0000-000035000000}"/>
    <cellStyle name="Heading 1" xfId="49" builtinId="16" customBuiltin="1"/>
    <cellStyle name="Heading 2" xfId="50" builtinId="17" customBuiltin="1"/>
    <cellStyle name="Heading 2 2" xfId="118" xr:uid="{00000000-0005-0000-0000-000038000000}"/>
    <cellStyle name="Heading1" xfId="51" xr:uid="{00000000-0005-0000-0000-000039000000}"/>
    <cellStyle name="Heading2" xfId="52" xr:uid="{00000000-0005-0000-0000-00003A000000}"/>
    <cellStyle name="Hyperlink" xfId="116" builtinId="8"/>
    <cellStyle name="Normal" xfId="0" builtinId="0"/>
    <cellStyle name="Normal 2" xfId="53" xr:uid="{00000000-0005-0000-0000-00003D000000}"/>
    <cellStyle name="Normal 3" xfId="54" xr:uid="{00000000-0005-0000-0000-00003E000000}"/>
    <cellStyle name="Normal 3 2" xfId="55" xr:uid="{00000000-0005-0000-0000-00003F000000}"/>
    <cellStyle name="Normal 3_Attach O, GG, Support -New Method 2-14-11" xfId="56" xr:uid="{00000000-0005-0000-0000-000040000000}"/>
    <cellStyle name="Normal 4" xfId="57" xr:uid="{00000000-0005-0000-0000-000041000000}"/>
    <cellStyle name="Normal 4 2" xfId="58" xr:uid="{00000000-0005-0000-0000-000042000000}"/>
    <cellStyle name="Normal 5" xfId="113" xr:uid="{00000000-0005-0000-0000-000043000000}"/>
    <cellStyle name="Normal 6" xfId="114" xr:uid="{00000000-0005-0000-0000-000044000000}"/>
    <cellStyle name="Normal 6 2" xfId="120" xr:uid="{00000000-0005-0000-0000-000045000000}"/>
    <cellStyle name="Normal 7" xfId="59" xr:uid="{00000000-0005-0000-0000-000046000000}"/>
    <cellStyle name="Normal 8" xfId="122" xr:uid="{00000000-0005-0000-0000-000047000000}"/>
    <cellStyle name="Normal_21 Exh B" xfId="60" xr:uid="{00000000-0005-0000-0000-000048000000}"/>
    <cellStyle name="Normal_AR workpaper --2002 Def Tax Exp by Account 8-14-02" xfId="61" xr:uid="{00000000-0005-0000-0000-000049000000}"/>
    <cellStyle name="Normal_Attachment Os for 2002 True-up" xfId="62" xr:uid="{00000000-0005-0000-0000-00004A000000}"/>
    <cellStyle name="Normal_TrAILCo attach 6 &amp; 7 and Appendix A" xfId="63" xr:uid="{00000000-0005-0000-0000-00004B000000}"/>
    <cellStyle name="Percent" xfId="64" builtinId="5"/>
    <cellStyle name="Percent 2" xfId="65" xr:uid="{00000000-0005-0000-0000-00004D000000}"/>
    <cellStyle name="Percent 2 2" xfId="66" xr:uid="{00000000-0005-0000-0000-00004E000000}"/>
    <cellStyle name="Percent 3" xfId="67" xr:uid="{00000000-0005-0000-0000-00004F000000}"/>
    <cellStyle name="Percent 3 2" xfId="68" xr:uid="{00000000-0005-0000-0000-000050000000}"/>
    <cellStyle name="Percent 4" xfId="69" xr:uid="{00000000-0005-0000-0000-000051000000}"/>
    <cellStyle name="Percent 5" xfId="124" xr:uid="{00000000-0005-0000-0000-000052000000}"/>
    <cellStyle name="PSChar" xfId="70" xr:uid="{00000000-0005-0000-0000-000053000000}"/>
    <cellStyle name="PSDate" xfId="71" xr:uid="{00000000-0005-0000-0000-000054000000}"/>
    <cellStyle name="PSDec" xfId="72" xr:uid="{00000000-0005-0000-0000-000055000000}"/>
    <cellStyle name="PSdesc" xfId="73" xr:uid="{00000000-0005-0000-0000-000056000000}"/>
    <cellStyle name="PSHeading" xfId="74" xr:uid="{00000000-0005-0000-0000-000057000000}"/>
    <cellStyle name="PSInt" xfId="75" xr:uid="{00000000-0005-0000-0000-000058000000}"/>
    <cellStyle name="PSSpacer" xfId="76" xr:uid="{00000000-0005-0000-0000-000059000000}"/>
    <cellStyle name="PStest" xfId="77" xr:uid="{00000000-0005-0000-0000-00005A000000}"/>
    <cellStyle name="R00A" xfId="78" xr:uid="{00000000-0005-0000-0000-00005B000000}"/>
    <cellStyle name="R00B" xfId="79" xr:uid="{00000000-0005-0000-0000-00005C000000}"/>
    <cellStyle name="R00L" xfId="80" xr:uid="{00000000-0005-0000-0000-00005D000000}"/>
    <cellStyle name="R01A" xfId="81" xr:uid="{00000000-0005-0000-0000-00005E000000}"/>
    <cellStyle name="R01B" xfId="82" xr:uid="{00000000-0005-0000-0000-00005F000000}"/>
    <cellStyle name="R01H" xfId="83" xr:uid="{00000000-0005-0000-0000-000060000000}"/>
    <cellStyle name="R01L" xfId="84" xr:uid="{00000000-0005-0000-0000-000061000000}"/>
    <cellStyle name="R02A" xfId="85" xr:uid="{00000000-0005-0000-0000-000062000000}"/>
    <cellStyle name="R02B" xfId="86" xr:uid="{00000000-0005-0000-0000-000063000000}"/>
    <cellStyle name="R02H" xfId="87" xr:uid="{00000000-0005-0000-0000-000064000000}"/>
    <cellStyle name="R02L" xfId="88" xr:uid="{00000000-0005-0000-0000-000065000000}"/>
    <cellStyle name="R03A" xfId="89" xr:uid="{00000000-0005-0000-0000-000066000000}"/>
    <cellStyle name="R03B" xfId="90" xr:uid="{00000000-0005-0000-0000-000067000000}"/>
    <cellStyle name="R03H" xfId="91" xr:uid="{00000000-0005-0000-0000-000068000000}"/>
    <cellStyle name="R03L" xfId="92" xr:uid="{00000000-0005-0000-0000-000069000000}"/>
    <cellStyle name="R04A" xfId="93" xr:uid="{00000000-0005-0000-0000-00006A000000}"/>
    <cellStyle name="R04B" xfId="94" xr:uid="{00000000-0005-0000-0000-00006B000000}"/>
    <cellStyle name="R04H" xfId="95" xr:uid="{00000000-0005-0000-0000-00006C000000}"/>
    <cellStyle name="R04L" xfId="96" xr:uid="{00000000-0005-0000-0000-00006D000000}"/>
    <cellStyle name="R05A" xfId="97" xr:uid="{00000000-0005-0000-0000-00006E000000}"/>
    <cellStyle name="R05B" xfId="98" xr:uid="{00000000-0005-0000-0000-00006F000000}"/>
    <cellStyle name="R05H" xfId="99" xr:uid="{00000000-0005-0000-0000-000070000000}"/>
    <cellStyle name="R05L" xfId="100" xr:uid="{00000000-0005-0000-0000-000071000000}"/>
    <cellStyle name="R05L 2" xfId="119" xr:uid="{00000000-0005-0000-0000-000072000000}"/>
    <cellStyle name="R06A" xfId="101" xr:uid="{00000000-0005-0000-0000-000073000000}"/>
    <cellStyle name="R06B" xfId="102" xr:uid="{00000000-0005-0000-0000-000074000000}"/>
    <cellStyle name="R06H" xfId="103" xr:uid="{00000000-0005-0000-0000-000075000000}"/>
    <cellStyle name="R06L" xfId="104" xr:uid="{00000000-0005-0000-0000-000076000000}"/>
    <cellStyle name="R07A" xfId="105" xr:uid="{00000000-0005-0000-0000-000077000000}"/>
    <cellStyle name="R07B" xfId="106" xr:uid="{00000000-0005-0000-0000-000078000000}"/>
    <cellStyle name="R07H" xfId="107" xr:uid="{00000000-0005-0000-0000-000079000000}"/>
    <cellStyle name="R07L" xfId="108" xr:uid="{00000000-0005-0000-0000-00007A000000}"/>
    <cellStyle name="SECTION" xfId="109" xr:uid="{00000000-0005-0000-0000-00007B000000}"/>
    <cellStyle name="System Defined" xfId="110" xr:uid="{00000000-0005-0000-0000-00007C00000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1009650</xdr:colOff>
          <xdr:row>3</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4:C22"/>
  <sheetViews>
    <sheetView workbookViewId="0"/>
  </sheetViews>
  <sheetFormatPr defaultRowHeight="15"/>
  <cols>
    <col min="1" max="1" width="10.109375" bestFit="1" customWidth="1"/>
    <col min="2" max="2" width="5.109375" style="1307" customWidth="1"/>
  </cols>
  <sheetData>
    <row r="4" spans="1:3">
      <c r="B4" s="1307" t="s">
        <v>602</v>
      </c>
    </row>
    <row r="6" spans="1:3">
      <c r="A6" t="s">
        <v>604</v>
      </c>
      <c r="B6" s="1321" t="s">
        <v>605</v>
      </c>
      <c r="C6" t="s">
        <v>606</v>
      </c>
    </row>
    <row r="7" spans="1:3">
      <c r="A7" t="s">
        <v>603</v>
      </c>
      <c r="B7" s="1321">
        <v>1</v>
      </c>
      <c r="C7" t="s">
        <v>610</v>
      </c>
    </row>
    <row r="8" spans="1:3">
      <c r="A8" t="s">
        <v>603</v>
      </c>
      <c r="B8" s="1321">
        <f>+B7+1</f>
        <v>2</v>
      </c>
      <c r="C8" t="s">
        <v>607</v>
      </c>
    </row>
    <row r="9" spans="1:3">
      <c r="A9" t="s">
        <v>603</v>
      </c>
      <c r="B9" s="1321">
        <f>+B8+1</f>
        <v>3</v>
      </c>
      <c r="C9" t="s">
        <v>609</v>
      </c>
    </row>
    <row r="10" spans="1:3">
      <c r="A10" t="s">
        <v>603</v>
      </c>
      <c r="B10" s="1321">
        <f>+B9+1</f>
        <v>4</v>
      </c>
      <c r="C10" t="s">
        <v>608</v>
      </c>
    </row>
    <row r="11" spans="1:3">
      <c r="A11" t="s">
        <v>603</v>
      </c>
      <c r="B11" s="1321">
        <f>+B10+1</f>
        <v>5</v>
      </c>
      <c r="C11" t="s">
        <v>611</v>
      </c>
    </row>
    <row r="12" spans="1:3">
      <c r="A12" t="s">
        <v>603</v>
      </c>
      <c r="B12" s="1321" t="s">
        <v>615</v>
      </c>
      <c r="C12" t="s">
        <v>612</v>
      </c>
    </row>
    <row r="13" spans="1:3">
      <c r="A13" t="str">
        <f>+A12</f>
        <v xml:space="preserve">Attachment </v>
      </c>
      <c r="B13" s="1321" t="s">
        <v>616</v>
      </c>
      <c r="C13" t="s">
        <v>613</v>
      </c>
    </row>
    <row r="14" spans="1:3">
      <c r="A14" t="s">
        <v>603</v>
      </c>
      <c r="B14" s="1321" t="s">
        <v>617</v>
      </c>
      <c r="C14" t="s">
        <v>618</v>
      </c>
    </row>
    <row r="15" spans="1:3">
      <c r="A15" t="s">
        <v>603</v>
      </c>
      <c r="B15" s="1321">
        <f>+B14+1</f>
        <v>8</v>
      </c>
      <c r="C15" t="s">
        <v>758</v>
      </c>
    </row>
    <row r="16" spans="1:3">
      <c r="A16" t="s">
        <v>603</v>
      </c>
      <c r="B16" s="1321">
        <f>+B15+1</f>
        <v>9</v>
      </c>
      <c r="C16" t="s">
        <v>614</v>
      </c>
    </row>
    <row r="17" spans="1:3">
      <c r="A17" t="s">
        <v>603</v>
      </c>
      <c r="B17" s="1112">
        <v>10</v>
      </c>
      <c r="C17" t="s">
        <v>923</v>
      </c>
    </row>
    <row r="18" spans="1:3">
      <c r="A18" t="str">
        <f>+A17</f>
        <v xml:space="preserve">Attachment </v>
      </c>
      <c r="B18" s="1112">
        <v>11</v>
      </c>
      <c r="C18" t="s">
        <v>924</v>
      </c>
    </row>
    <row r="19" spans="1:3">
      <c r="A19" t="str">
        <f>+A18</f>
        <v xml:space="preserve">Attachment </v>
      </c>
      <c r="B19" s="1112">
        <v>12</v>
      </c>
      <c r="C19" t="s">
        <v>1034</v>
      </c>
    </row>
    <row r="20" spans="1:3">
      <c r="A20" t="str">
        <f>+A19</f>
        <v xml:space="preserve">Attachment </v>
      </c>
      <c r="B20" s="1112">
        <v>13</v>
      </c>
      <c r="C20" t="s">
        <v>269</v>
      </c>
    </row>
    <row r="21" spans="1:3">
      <c r="A21" t="str">
        <f>+A20</f>
        <v xml:space="preserve">Attachment </v>
      </c>
      <c r="B21" s="1112">
        <v>14</v>
      </c>
      <c r="C21" t="s">
        <v>1033</v>
      </c>
    </row>
    <row r="22" spans="1:3">
      <c r="B22" s="13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IV500"/>
  <sheetViews>
    <sheetView zoomScale="85" zoomScaleNormal="85" workbookViewId="0">
      <selection activeCell="P38" sqref="P38"/>
    </sheetView>
  </sheetViews>
  <sheetFormatPr defaultColWidth="8.77734375" defaultRowHeight="15"/>
  <cols>
    <col min="1" max="1" width="6" style="1" customWidth="1"/>
    <col min="2" max="2" width="1.44140625" style="1" customWidth="1"/>
    <col min="3" max="3" width="41.21875" style="1" customWidth="1"/>
    <col min="4" max="4" width="21.77734375" style="1" customWidth="1"/>
    <col min="5" max="5" width="16.44140625" style="1" customWidth="1"/>
    <col min="6" max="6" width="5.77734375" style="1" customWidth="1"/>
    <col min="7" max="7" width="7.77734375" style="1" customWidth="1"/>
    <col min="8" max="8" width="13.5546875" style="1" customWidth="1"/>
    <col min="9" max="9" width="6.77734375" style="1" customWidth="1"/>
    <col min="10" max="10" width="15.77734375" style="1" customWidth="1"/>
    <col min="11" max="11" width="8.77734375" style="1" customWidth="1"/>
    <col min="12" max="12" width="10.21875" style="1" customWidth="1"/>
    <col min="13" max="13" width="14.44140625" style="1" customWidth="1"/>
    <col min="14" max="16384" width="8.7773437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497</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1"/>
      <c r="K6" s="722"/>
      <c r="L6" s="720"/>
      <c r="M6" s="1493" t="s">
        <v>1091</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1107</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64"/>
      <c r="E8" s="865" t="s">
        <v>492</v>
      </c>
      <c r="F8" s="851"/>
      <c r="G8" s="851"/>
      <c r="H8" s="850"/>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64"/>
      <c r="E9" s="865"/>
      <c r="F9" s="851"/>
      <c r="G9" s="851"/>
      <c r="H9" s="850"/>
      <c r="I9" s="10"/>
      <c r="J9" s="10"/>
      <c r="L9" s="10"/>
      <c r="M9" s="874"/>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602</v>
      </c>
      <c r="E10"/>
      <c r="F10" s="851"/>
      <c r="G10" s="851"/>
      <c r="H10" s="850"/>
      <c r="I10" s="10"/>
      <c r="J10" s="10"/>
      <c r="L10" s="10"/>
      <c r="M10" s="874"/>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1"/>
      <c r="G11" s="851"/>
      <c r="H11" s="850"/>
      <c r="I11" s="10"/>
      <c r="J11" s="10"/>
      <c r="L11" s="10"/>
      <c r="M11" s="874"/>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604</v>
      </c>
      <c r="D12" t="s">
        <v>605</v>
      </c>
      <c r="E12" t="s">
        <v>606</v>
      </c>
      <c r="F12" s="851"/>
      <c r="G12" s="851"/>
      <c r="H12" s="850"/>
      <c r="I12" s="10"/>
      <c r="J12" s="10"/>
      <c r="L12" s="10"/>
      <c r="M12" s="874"/>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603</v>
      </c>
      <c r="D13" s="966">
        <v>1</v>
      </c>
      <c r="E13" t="s">
        <v>610</v>
      </c>
      <c r="F13" s="851"/>
      <c r="G13" s="851"/>
      <c r="H13" s="850"/>
      <c r="I13" s="10"/>
      <c r="J13" s="10"/>
      <c r="L13" s="10"/>
      <c r="M13" s="874"/>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603</v>
      </c>
      <c r="D14" s="966">
        <f>+D13+1</f>
        <v>2</v>
      </c>
      <c r="E14" t="s">
        <v>607</v>
      </c>
      <c r="F14" s="851"/>
      <c r="G14" s="851"/>
      <c r="H14" s="850"/>
      <c r="I14" s="10"/>
      <c r="J14" s="10"/>
      <c r="L14" s="10"/>
      <c r="M14" s="874"/>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603</v>
      </c>
      <c r="D15" s="966">
        <f t="shared" ref="D15:D21" si="0">+D14+1</f>
        <v>3</v>
      </c>
      <c r="E15" t="s">
        <v>609</v>
      </c>
      <c r="F15" s="851"/>
      <c r="G15" s="851"/>
      <c r="H15" s="850"/>
      <c r="I15" s="10"/>
      <c r="J15" s="10"/>
      <c r="L15" s="10"/>
      <c r="M15" s="874"/>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603</v>
      </c>
      <c r="D16" s="966">
        <f t="shared" si="0"/>
        <v>4</v>
      </c>
      <c r="E16" t="s">
        <v>608</v>
      </c>
      <c r="F16" s="851"/>
      <c r="G16" s="851"/>
      <c r="H16" s="850"/>
      <c r="I16" s="10"/>
      <c r="J16" s="10"/>
      <c r="L16" s="10"/>
      <c r="M16" s="874"/>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603</v>
      </c>
      <c r="D17" s="966">
        <f t="shared" si="0"/>
        <v>5</v>
      </c>
      <c r="E17" t="s">
        <v>611</v>
      </c>
      <c r="F17" s="851"/>
      <c r="G17" s="851"/>
      <c r="H17" s="850"/>
      <c r="I17" s="10"/>
      <c r="J17" s="10"/>
      <c r="L17" s="10"/>
      <c r="M17" s="874"/>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603</v>
      </c>
      <c r="D18" s="966" t="s">
        <v>615</v>
      </c>
      <c r="E18" t="s">
        <v>612</v>
      </c>
      <c r="F18" s="851"/>
      <c r="G18" s="851"/>
      <c r="H18" s="850"/>
      <c r="I18" s="10"/>
      <c r="J18" s="10"/>
      <c r="L18" s="10"/>
      <c r="M18" s="874"/>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603</v>
      </c>
      <c r="D19" s="966" t="s">
        <v>616</v>
      </c>
      <c r="E19" t="s">
        <v>613</v>
      </c>
      <c r="F19" s="851"/>
      <c r="G19" s="851"/>
      <c r="H19" s="850"/>
      <c r="I19" s="10"/>
      <c r="J19" s="10"/>
      <c r="L19" s="10"/>
      <c r="M19" s="874"/>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603</v>
      </c>
      <c r="D20" s="966" t="s">
        <v>617</v>
      </c>
      <c r="E20" t="s">
        <v>619</v>
      </c>
      <c r="F20" s="851"/>
      <c r="G20" s="851"/>
      <c r="H20" s="850"/>
      <c r="I20" s="10"/>
      <c r="J20" s="10"/>
      <c r="L20" s="10"/>
      <c r="M20" s="874"/>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603</v>
      </c>
      <c r="D21" s="966">
        <f t="shared" si="0"/>
        <v>8</v>
      </c>
      <c r="E21" t="s">
        <v>620</v>
      </c>
      <c r="F21" s="851"/>
      <c r="G21" s="851"/>
      <c r="H21" s="850"/>
      <c r="I21" s="10"/>
      <c r="J21" s="10"/>
      <c r="L21" s="10"/>
      <c r="M21" s="874"/>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603</v>
      </c>
      <c r="D22" s="29">
        <v>9</v>
      </c>
      <c r="E22" s="76" t="s">
        <v>614</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3863369.5711106937</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9">
        <f>+'1 - Revenue Credits'!D15</f>
        <v>0</v>
      </c>
      <c r="F35" s="11"/>
      <c r="G35" s="11" t="str">
        <f>+G58</f>
        <v>TP</v>
      </c>
      <c r="H35" s="627">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30" t="s">
        <v>1002</v>
      </c>
      <c r="E36" s="1470">
        <f>+'7 - True-Up'!J52</f>
        <v>0</v>
      </c>
      <c r="F36" s="10"/>
      <c r="G36" s="118" t="s">
        <v>138</v>
      </c>
      <c r="H36" s="21">
        <v>1</v>
      </c>
      <c r="I36" s="10"/>
      <c r="J36" s="168">
        <f>+H36*E36</f>
        <v>0</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3863369.5711106937</v>
      </c>
      <c r="K38" s="10"/>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497</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437</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12/31/2021</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507</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1040</v>
      </c>
      <c r="E58" s="124">
        <f>+'2 - Cost Support '!F20</f>
        <v>0</v>
      </c>
      <c r="F58" s="11"/>
      <c r="G58" s="11" t="s">
        <v>23</v>
      </c>
      <c r="H58" s="627">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1041</v>
      </c>
      <c r="E59" s="124">
        <f>+'2 - Cost Support '!F36+'2 - Cost Support '!F52</f>
        <v>0</v>
      </c>
      <c r="F59" s="11"/>
      <c r="G59" s="11" t="s">
        <v>34</v>
      </c>
      <c r="H59" s="627">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40">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41"/>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508</v>
      </c>
      <c r="D62" s="19"/>
      <c r="E62" s="124"/>
      <c r="F62" s="11"/>
      <c r="G62" s="11"/>
      <c r="H62" s="627"/>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1042</v>
      </c>
      <c r="E63" s="124">
        <f>+'2 - Cost Support '!F73</f>
        <v>0</v>
      </c>
      <c r="F63" s="11"/>
      <c r="G63" s="11" t="str">
        <f>+G58</f>
        <v>TP</v>
      </c>
      <c r="H63" s="627">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1043</v>
      </c>
      <c r="E64" s="124">
        <f>+'2 - Cost Support '!F89+'2 - Cost Support '!F105</f>
        <v>0</v>
      </c>
      <c r="F64" s="11"/>
      <c r="G64" s="11" t="str">
        <f>+G59</f>
        <v>W/S</v>
      </c>
      <c r="H64" s="627">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7"/>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41"/>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7"/>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7"/>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41"/>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40">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2"/>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30"/>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7" t="s">
        <v>387</v>
      </c>
      <c r="D73" s="19" t="s">
        <v>0</v>
      </c>
      <c r="E73" s="124">
        <f>+'6a- ADIT'!G17</f>
        <v>-1513612.5</v>
      </c>
      <c r="F73" s="19"/>
      <c r="G73" s="19" t="str">
        <f>+G81</f>
        <v>TP</v>
      </c>
      <c r="H73" s="630">
        <f>+H81</f>
        <v>1</v>
      </c>
      <c r="I73" s="19"/>
      <c r="J73" s="124">
        <f t="shared" ref="J73:J78" si="2">+H73*E73</f>
        <v>-1513612.5</v>
      </c>
      <c r="K73" s="19"/>
      <c r="L73" s="128"/>
      <c r="M73" s="658"/>
      <c r="N73" s="659"/>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7" t="s">
        <v>299</v>
      </c>
      <c r="D74" s="19" t="s">
        <v>1044</v>
      </c>
      <c r="E74" s="124">
        <f>+'2a - Cost Support'!G5</f>
        <v>0</v>
      </c>
      <c r="F74" s="19"/>
      <c r="G74" s="19" t="s">
        <v>38</v>
      </c>
      <c r="H74" s="630">
        <f>+H$70</f>
        <v>1</v>
      </c>
      <c r="I74" s="19"/>
      <c r="J74" s="161">
        <f t="shared" si="2"/>
        <v>0</v>
      </c>
      <c r="K74" s="19"/>
      <c r="L74" s="128"/>
      <c r="M74" s="658"/>
      <c r="N74" s="659"/>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7" t="s">
        <v>196</v>
      </c>
      <c r="D75" s="19" t="s">
        <v>457</v>
      </c>
      <c r="E75" s="161">
        <f>+'2a - Cost Support'!G43</f>
        <v>0</v>
      </c>
      <c r="F75" s="128"/>
      <c r="G75" s="128" t="s">
        <v>138</v>
      </c>
      <c r="H75" s="643">
        <v>1</v>
      </c>
      <c r="I75" s="128"/>
      <c r="J75" s="161">
        <f>+E75*H75</f>
        <v>0</v>
      </c>
      <c r="K75" s="19"/>
      <c r="L75" s="660"/>
      <c r="M75" s="658"/>
      <c r="N75" s="659"/>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7" t="s">
        <v>388</v>
      </c>
      <c r="D76" s="19" t="s">
        <v>1045</v>
      </c>
      <c r="E76" s="161">
        <f>+'2a - Cost Support'!H65</f>
        <v>0</v>
      </c>
      <c r="F76" s="128"/>
      <c r="G76" s="128" t="str">
        <f>+G77</f>
        <v>DA</v>
      </c>
      <c r="H76" s="643">
        <f>+H77</f>
        <v>1</v>
      </c>
      <c r="I76" s="128"/>
      <c r="J76" s="161">
        <f t="shared" si="2"/>
        <v>0</v>
      </c>
      <c r="K76" s="19"/>
      <c r="L76" s="660"/>
      <c r="M76" s="658"/>
      <c r="N76" s="659"/>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482</v>
      </c>
      <c r="E77" s="161">
        <f>+'2a - Cost Support'!H143</f>
        <v>1234544.5</v>
      </c>
      <c r="F77" s="128"/>
      <c r="G77" s="128" t="str">
        <f>+G78</f>
        <v>DA</v>
      </c>
      <c r="H77" s="643">
        <f>+H78</f>
        <v>1</v>
      </c>
      <c r="I77" s="128"/>
      <c r="J77" s="161">
        <f t="shared" si="2"/>
        <v>1234544.5</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430</v>
      </c>
      <c r="E78" s="417">
        <f>+'2a - Cost Support'!G7</f>
        <v>3601595.2842105259</v>
      </c>
      <c r="F78" s="418"/>
      <c r="G78" s="418" t="s">
        <v>138</v>
      </c>
      <c r="H78" s="628">
        <v>1</v>
      </c>
      <c r="I78" s="418"/>
      <c r="J78" s="419">
        <f t="shared" si="2"/>
        <v>3601595.2842105259</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3322527.2842105259</v>
      </c>
      <c r="F79" s="11"/>
      <c r="G79" s="11"/>
      <c r="H79" s="627"/>
      <c r="I79" s="11"/>
      <c r="J79" s="175">
        <f>SUM(J73:J78)</f>
        <v>3322527.2842105259</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41"/>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1046</v>
      </c>
      <c r="E81" s="124">
        <f>+'2a - Cost Support'!I53</f>
        <v>0</v>
      </c>
      <c r="F81" s="11"/>
      <c r="G81" s="11" t="str">
        <f>+G63</f>
        <v>TP</v>
      </c>
      <c r="H81" s="627">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7"/>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7"/>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7" t="s">
        <v>760</v>
      </c>
      <c r="E84" s="124">
        <f>+E122/8</f>
        <v>265153.50840376213</v>
      </c>
      <c r="F84" s="11"/>
      <c r="G84" s="11"/>
      <c r="H84" s="641"/>
      <c r="I84" s="11"/>
      <c r="J84" s="124">
        <f>+J122/8</f>
        <v>265153.50840376213</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1047</v>
      </c>
      <c r="E85" s="124">
        <f>+'2a - Cost Support'!H133</f>
        <v>0</v>
      </c>
      <c r="F85" s="11"/>
      <c r="G85" s="11" t="str">
        <f>+G81</f>
        <v>TP</v>
      </c>
      <c r="H85" s="627">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1048</v>
      </c>
      <c r="E86" s="417">
        <f>+'2a - Cost Support'!F26</f>
        <v>0</v>
      </c>
      <c r="F86" s="418"/>
      <c r="G86" s="418" t="s">
        <v>42</v>
      </c>
      <c r="H86" s="631">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265153.50840376213</v>
      </c>
      <c r="F87" s="10"/>
      <c r="G87" s="10"/>
      <c r="H87" s="10"/>
      <c r="I87" s="10"/>
      <c r="J87" s="175">
        <f>SUM(J84:J86)</f>
        <v>265153.50840376213</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3587680.7926142882</v>
      </c>
      <c r="F89" s="11"/>
      <c r="G89" s="11"/>
      <c r="H89" s="42"/>
      <c r="I89" s="11"/>
      <c r="J89" s="176">
        <f>+J70+J79+J81+J87</f>
        <v>3587680.7926142882</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497</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436</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12/31/2021</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488</v>
      </c>
      <c r="E116" s="186">
        <f>'WP1 - O&amp;M detail'!I33</f>
        <v>2016345</v>
      </c>
      <c r="F116" s="11"/>
      <c r="G116" s="11" t="str">
        <f>+I190</f>
        <v>TP=</v>
      </c>
      <c r="H116" s="627">
        <f>+J190</f>
        <v>1</v>
      </c>
      <c r="I116" s="11"/>
      <c r="J116" s="168">
        <f t="shared" ref="J116:J121" si="4">+H116*E116</f>
        <v>2016345</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444</v>
      </c>
      <c r="E117" s="186">
        <v>0</v>
      </c>
      <c r="F117" s="11"/>
      <c r="G117" s="11" t="str">
        <f>+G116</f>
        <v>TP=</v>
      </c>
      <c r="H117" s="627">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105030</v>
      </c>
      <c r="F118" s="11"/>
      <c r="G118" s="11" t="s">
        <v>34</v>
      </c>
      <c r="H118" s="627">
        <f>+J$196</f>
        <v>1</v>
      </c>
      <c r="I118" s="11"/>
      <c r="J118" s="168">
        <f t="shared" si="4"/>
        <v>105030</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7">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7">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1049</v>
      </c>
      <c r="E121" s="124">
        <f>+'2a - Cost Support'!E183</f>
        <v>-146.9327699027985</v>
      </c>
      <c r="F121" s="11"/>
      <c r="G121" s="51" t="str">
        <f>+G117</f>
        <v>TP=</v>
      </c>
      <c r="H121" s="627">
        <f>+H116</f>
        <v>1</v>
      </c>
      <c r="I121" s="11"/>
      <c r="J121" s="168">
        <f t="shared" si="4"/>
        <v>-146.9327699027985</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2121228.067230097</v>
      </c>
      <c r="F122" s="11"/>
      <c r="G122" s="11"/>
      <c r="H122" s="11"/>
      <c r="I122" s="11"/>
      <c r="J122" s="175">
        <f>+J116+J118+J120+J121-J117-J119</f>
        <v>2121228.067230097</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506</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998</v>
      </c>
      <c r="E125" s="186">
        <v>0</v>
      </c>
      <c r="F125" s="11"/>
      <c r="G125" s="11" t="s">
        <v>23</v>
      </c>
      <c r="H125" s="627">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999</v>
      </c>
      <c r="E126" s="186">
        <v>0</v>
      </c>
      <c r="F126" s="11"/>
      <c r="G126" s="11" t="s">
        <v>34</v>
      </c>
      <c r="H126" s="627">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430</v>
      </c>
      <c r="E127" s="417">
        <f>+'2a - Cost Support'!F9</f>
        <v>1440638.28</v>
      </c>
      <c r="F127" s="418"/>
      <c r="G127" s="418" t="s">
        <v>138</v>
      </c>
      <c r="H127" s="628">
        <v>1</v>
      </c>
      <c r="I127" s="418"/>
      <c r="J127" s="422">
        <f>+H127*E127</f>
        <v>1440638.28</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1440638.28</v>
      </c>
      <c r="F128" s="11"/>
      <c r="G128" s="11"/>
      <c r="H128" s="627"/>
      <c r="I128" s="11"/>
      <c r="J128" s="175">
        <f>SUM(J125:J127)</f>
        <v>1440638.28</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7"/>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7"/>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7"/>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445</v>
      </c>
      <c r="E132" s="186">
        <v>0</v>
      </c>
      <c r="F132" s="11"/>
      <c r="G132" s="11" t="s">
        <v>34</v>
      </c>
      <c r="H132" s="627">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445</v>
      </c>
      <c r="E133" s="186">
        <v>0</v>
      </c>
      <c r="F133" s="11"/>
      <c r="G133" s="11" t="str">
        <f>+G132</f>
        <v>W/S</v>
      </c>
      <c r="H133" s="627">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7"/>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445</v>
      </c>
      <c r="E135" s="186">
        <v>0</v>
      </c>
      <c r="F135" s="11"/>
      <c r="G135" s="11" t="s">
        <v>42</v>
      </c>
      <c r="H135" s="630">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445</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445</v>
      </c>
      <c r="E137" s="186">
        <v>0</v>
      </c>
      <c r="F137" s="11"/>
      <c r="G137" s="11" t="str">
        <f>+G135</f>
        <v>GP</v>
      </c>
      <c r="H137" s="630">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7"/>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7"/>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41"/>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0.31573823050988403</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496">
        <f>+E142*E153</f>
        <v>74666.628291090004</v>
      </c>
      <c r="F148" s="11"/>
      <c r="G148" s="11" t="s">
        <v>32</v>
      </c>
      <c r="H148" s="21"/>
      <c r="I148" s="11"/>
      <c r="J148" s="175">
        <f>+E142*J153</f>
        <v>74666.628291090004</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31">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74666.628291090004</v>
      </c>
      <c r="F150" s="11"/>
      <c r="G150" s="11" t="s">
        <v>8</v>
      </c>
      <c r="H150" s="21" t="s">
        <v>8</v>
      </c>
      <c r="I150" s="11"/>
      <c r="J150" s="185">
        <f>+J148+J149</f>
        <v>74666.628291090004</v>
      </c>
      <c r="K150" s="11"/>
      <c r="L150" s="769"/>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69"/>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69"/>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236482.6969813293</v>
      </c>
      <c r="F153" s="11"/>
      <c r="G153" s="11" t="s">
        <v>32</v>
      </c>
      <c r="H153" s="55"/>
      <c r="I153" s="11"/>
      <c r="J153" s="175">
        <f>+J89*J203</f>
        <v>236482.6969813293</v>
      </c>
      <c r="K153" s="11"/>
      <c r="L153" s="769"/>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48"/>
      <c r="K154" s="11"/>
      <c r="L154" s="769"/>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48">
        <f>+E122+E128+E138+E150+E153</f>
        <v>3873015.6725025168</v>
      </c>
      <c r="F155" s="127"/>
      <c r="G155" s="127"/>
      <c r="H155" s="749"/>
      <c r="I155" s="127"/>
      <c r="J155" s="748">
        <f>+J122+J128+J138+J150+J153</f>
        <v>3873015.6725025168</v>
      </c>
      <c r="K155" s="11"/>
      <c r="L155" s="769"/>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36"/>
      <c r="F156" s="127"/>
      <c r="G156" s="127"/>
      <c r="H156" s="749"/>
      <c r="I156" s="127"/>
      <c r="J156" s="748"/>
      <c r="K156" s="11"/>
      <c r="L156" s="769"/>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483</v>
      </c>
      <c r="E157" s="161">
        <f>+'4 - Cap Adds'!K30</f>
        <v>-9646.101391823031</v>
      </c>
      <c r="F157" s="11"/>
      <c r="G157" s="11" t="s">
        <v>138</v>
      </c>
      <c r="H157" s="750">
        <v>1</v>
      </c>
      <c r="I157" s="11"/>
      <c r="J157" s="748">
        <f>+H157*E157</f>
        <v>-9646.101391823031</v>
      </c>
      <c r="K157" s="26" t="s">
        <v>478</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48"/>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3863369.5711106937</v>
      </c>
      <c r="F159" s="11"/>
      <c r="G159" s="11"/>
      <c r="H159" s="11"/>
      <c r="I159" s="11"/>
      <c r="J159" s="176">
        <f>+J155+J157</f>
        <v>3863369.5711106937</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497</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435</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12/31/2021</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9">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2">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4">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9">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2">
        <v>0</v>
      </c>
      <c r="F194" s="633">
        <f>+J190</f>
        <v>1</v>
      </c>
      <c r="H194" s="625">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4">
        <v>0</v>
      </c>
      <c r="F195" s="82"/>
      <c r="G195" s="82"/>
      <c r="H195" s="635"/>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5">
        <f>SUM(E194:E195)</f>
        <v>0</v>
      </c>
      <c r="F196" s="11"/>
      <c r="G196" s="11"/>
      <c r="H196" s="625">
        <f>SUM(H194:H195)</f>
        <v>0</v>
      </c>
      <c r="I196" s="32" t="s">
        <v>66</v>
      </c>
      <c r="J196" s="630">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1050</v>
      </c>
      <c r="D200" s="19"/>
      <c r="E200" s="636">
        <f>+'2b - Cost Support'!Q15</f>
        <v>0</v>
      </c>
      <c r="F200" s="1516">
        <v>0.48</v>
      </c>
      <c r="G200" s="87"/>
      <c r="H200" s="1508">
        <f>'5-Construction Loan'!I46</f>
        <v>2.5740000000000002E-2</v>
      </c>
      <c r="J200" s="626">
        <f>+H200*F200</f>
        <v>1.23552E-2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1051</v>
      </c>
      <c r="D201" s="19"/>
      <c r="E201" s="629">
        <f>+'2b - Cost Support'!Q17</f>
        <v>0</v>
      </c>
      <c r="F201" s="839">
        <f>IF(E$203=0,0,E201/E$203)</f>
        <v>0</v>
      </c>
      <c r="G201" s="87"/>
      <c r="H201" s="625">
        <f>+'2b - Cost Support'!P41</f>
        <v>0</v>
      </c>
      <c r="J201" s="626">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1058</v>
      </c>
      <c r="D202" s="19"/>
      <c r="E202" s="637">
        <f>+'2b - Cost Support'!Q23</f>
        <v>3756346.9015384619</v>
      </c>
      <c r="F202" s="1516">
        <v>0.52</v>
      </c>
      <c r="G202" s="87"/>
      <c r="H202" s="858">
        <v>0.10299999999999999</v>
      </c>
      <c r="J202" s="638">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5">
        <f>SUM(E200:E202)</f>
        <v>3756346.9015384619</v>
      </c>
      <c r="F203" s="11" t="s">
        <v>8</v>
      </c>
      <c r="G203" s="11"/>
      <c r="H203" s="11"/>
      <c r="I203" s="11"/>
      <c r="J203" s="626">
        <f>SUM(J200:J202)</f>
        <v>6.5915199999999993E-2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7" t="s">
        <v>954</v>
      </c>
      <c r="D206" s="67"/>
      <c r="E206" s="67"/>
      <c r="F206" s="19"/>
      <c r="G206" s="19"/>
      <c r="H206" s="75" t="s">
        <v>461</v>
      </c>
      <c r="I206" s="75"/>
      <c r="J206" s="829"/>
      <c r="K206" s="67"/>
      <c r="L206" s="130"/>
      <c r="M206" s="648"/>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18"/>
      <c r="B207" s="67"/>
      <c r="C207" s="647"/>
      <c r="D207" s="67"/>
      <c r="E207" s="67"/>
      <c r="F207" s="19"/>
      <c r="G207" s="19"/>
      <c r="H207" s="762"/>
      <c r="J207" s="75"/>
      <c r="K207" s="67"/>
      <c r="L207" s="130"/>
      <c r="M207" s="648"/>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18">
        <f>+A203+1</f>
        <v>84</v>
      </c>
      <c r="B208" s="67"/>
      <c r="C208" s="647" t="s">
        <v>5</v>
      </c>
      <c r="D208" s="67" t="str">
        <f>"(Line "&amp;A68&amp;")"</f>
        <v>(Line 13)</v>
      </c>
      <c r="E208" s="67"/>
      <c r="F208" s="19"/>
      <c r="G208" s="19"/>
      <c r="H208" s="649">
        <f>+J68</f>
        <v>0</v>
      </c>
      <c r="I208" s="19"/>
      <c r="J208" s="67"/>
      <c r="K208" s="67"/>
      <c r="L208" s="130"/>
      <c r="M208" s="648"/>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18">
        <f>+A208+1</f>
        <v>85</v>
      </c>
      <c r="B209" s="67"/>
      <c r="C209" s="647" t="s">
        <v>269</v>
      </c>
      <c r="D209" s="67" t="str">
        <f>"(Line "&amp;A75&amp;")"</f>
        <v>(Line 19)</v>
      </c>
      <c r="E209" s="67"/>
      <c r="F209" s="19"/>
      <c r="G209" s="19"/>
      <c r="H209" s="649">
        <f>+J75</f>
        <v>0</v>
      </c>
      <c r="J209" s="124"/>
      <c r="K209" s="67"/>
      <c r="L209" s="130"/>
      <c r="M209" s="648"/>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18">
        <f>+A209+1</f>
        <v>86</v>
      </c>
      <c r="B210" s="67"/>
      <c r="C210" s="650" t="s">
        <v>6</v>
      </c>
      <c r="D210" s="67" t="str">
        <f>"(Line "&amp;A78&amp;")"</f>
        <v>(Line 22)</v>
      </c>
      <c r="E210" s="67"/>
      <c r="F210" s="19"/>
      <c r="G210" s="19"/>
      <c r="H210" s="649">
        <f>+J78</f>
        <v>3601595.2842105259</v>
      </c>
      <c r="I210" s="19"/>
      <c r="J210" s="67"/>
      <c r="K210" s="67"/>
      <c r="L210" s="130"/>
      <c r="M210" s="648"/>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8">
        <f>+A210+1</f>
        <v>87</v>
      </c>
      <c r="B211" s="67"/>
      <c r="C211" s="650" t="s">
        <v>396</v>
      </c>
      <c r="D211" s="67" t="str">
        <f>"(Line "&amp;A77&amp;")"</f>
        <v>(Line 21)</v>
      </c>
      <c r="E211" s="67"/>
      <c r="F211" s="19"/>
      <c r="G211" s="19"/>
      <c r="H211" s="649">
        <f>+J77</f>
        <v>1234544.5</v>
      </c>
      <c r="I211" s="19"/>
      <c r="J211" s="67"/>
      <c r="L211" s="130"/>
      <c r="M211" s="648"/>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18">
        <f>+A211+1</f>
        <v>88</v>
      </c>
      <c r="B212" s="67"/>
      <c r="C212" s="728" t="str">
        <f>+C206</f>
        <v>Sum Of Net Transmission Plant, CWIP in Rate Base, Regulatory Asset and Unamortized Abandoned Plant</v>
      </c>
      <c r="D212" s="67"/>
      <c r="E212" s="67"/>
      <c r="F212" s="19"/>
      <c r="G212" s="19"/>
      <c r="H212" s="411">
        <f>SUM(H208:H211)</f>
        <v>4836139.7842105255</v>
      </c>
      <c r="I212" s="19"/>
      <c r="J212" s="411"/>
      <c r="K212" s="1527"/>
      <c r="L212" s="1527"/>
      <c r="M212" s="1527"/>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8"/>
      <c r="B213" s="67"/>
      <c r="C213" s="647"/>
      <c r="D213" s="67"/>
      <c r="E213" s="67"/>
      <c r="F213" s="19"/>
      <c r="G213" s="19"/>
      <c r="H213" s="19"/>
      <c r="I213" s="19"/>
      <c r="J213" s="67"/>
      <c r="K213" s="67"/>
      <c r="L213" s="130"/>
      <c r="M213" s="648"/>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8"/>
      <c r="B214" s="67"/>
      <c r="C214" s="647"/>
      <c r="D214" s="67"/>
      <c r="E214" s="67"/>
      <c r="F214" s="19"/>
      <c r="G214" s="19"/>
      <c r="H214" s="19"/>
      <c r="I214" s="19"/>
      <c r="J214" s="19"/>
      <c r="K214" s="67"/>
      <c r="L214" s="130"/>
      <c r="M214" s="648"/>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1"/>
      <c r="D215" s="651"/>
      <c r="E215" s="651"/>
      <c r="F215" s="19"/>
      <c r="G215" s="19"/>
      <c r="H215" s="652"/>
      <c r="I215" s="19"/>
      <c r="J215" s="653"/>
      <c r="K215" s="67"/>
      <c r="L215" s="130"/>
      <c r="M215" s="654"/>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7"/>
      <c r="D216" s="647"/>
      <c r="E216" s="655"/>
      <c r="F216" s="19"/>
      <c r="G216" s="19"/>
      <c r="H216" s="19"/>
      <c r="I216" s="19"/>
      <c r="J216" s="655"/>
      <c r="K216" s="67"/>
      <c r="L216" s="130"/>
      <c r="M216" s="656"/>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497</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434</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12/31/2021</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70" t="s">
        <v>83</v>
      </c>
      <c r="D232" s="570"/>
      <c r="E232" s="570"/>
      <c r="F232" s="570"/>
      <c r="G232" s="570"/>
      <c r="H232" s="570"/>
      <c r="I232" s="570"/>
      <c r="J232" s="570"/>
      <c r="K232" s="570"/>
      <c r="L232" s="570"/>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70" t="s">
        <v>687</v>
      </c>
      <c r="D233" s="570"/>
      <c r="E233" s="570"/>
      <c r="F233" s="570"/>
      <c r="G233" s="570"/>
      <c r="H233" s="570"/>
      <c r="I233" s="570"/>
      <c r="J233" s="570"/>
      <c r="K233" s="570"/>
      <c r="L233" s="570"/>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70"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70"/>
      <c r="E234" s="570"/>
      <c r="F234" s="570"/>
      <c r="G234" s="570"/>
      <c r="H234" s="570"/>
      <c r="I234" s="570"/>
      <c r="J234" s="570"/>
      <c r="K234" s="570"/>
      <c r="L234" s="570"/>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70" t="s">
        <v>85</v>
      </c>
      <c r="D235" s="570"/>
      <c r="E235" s="570"/>
      <c r="F235" s="570"/>
      <c r="G235" s="570"/>
      <c r="H235" s="570"/>
      <c r="I235" s="570"/>
      <c r="J235" s="570"/>
      <c r="K235" s="570"/>
      <c r="L235" s="570"/>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70" t="s">
        <v>224</v>
      </c>
      <c r="D236" s="570"/>
      <c r="E236" s="570"/>
      <c r="F236" s="570"/>
      <c r="G236" s="570"/>
      <c r="H236" s="570"/>
      <c r="I236" s="570"/>
      <c r="J236" s="570"/>
      <c r="K236" s="570"/>
      <c r="L236" s="570"/>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70" t="s">
        <v>87</v>
      </c>
      <c r="D237" s="570"/>
      <c r="E237" s="570"/>
      <c r="F237" s="570"/>
      <c r="G237" s="570"/>
      <c r="H237" s="570"/>
      <c r="I237" s="570"/>
      <c r="J237" s="570"/>
      <c r="K237" s="570"/>
      <c r="L237" s="570"/>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5"/>
      <c r="D238" s="570"/>
      <c r="E238" s="570"/>
      <c r="F238" s="570"/>
      <c r="G238" s="570"/>
      <c r="H238" s="570"/>
      <c r="I238" s="570"/>
      <c r="J238" s="570"/>
      <c r="K238" s="645"/>
      <c r="L238" s="570"/>
      <c r="M238" s="105"/>
      <c r="N238" s="587"/>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5" t="s">
        <v>688</v>
      </c>
      <c r="D239" s="570"/>
      <c r="E239" s="570"/>
      <c r="F239" s="570"/>
      <c r="G239" s="570"/>
      <c r="H239" s="570"/>
      <c r="I239" s="570"/>
      <c r="J239" s="570"/>
      <c r="K239" s="645"/>
      <c r="L239" s="570"/>
      <c r="M239" s="105"/>
      <c r="N239" s="587"/>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5" t="s">
        <v>1000</v>
      </c>
      <c r="D240" s="570"/>
      <c r="E240" s="570"/>
      <c r="F240" s="570"/>
      <c r="G240" s="570"/>
      <c r="H240" s="570"/>
      <c r="I240" s="570"/>
      <c r="J240" s="570"/>
      <c r="K240" s="570"/>
      <c r="L240" s="570"/>
      <c r="M240" s="105"/>
      <c r="N240" s="571"/>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5" t="s">
        <v>689</v>
      </c>
      <c r="D241" s="570"/>
      <c r="E241" s="570"/>
      <c r="F241" s="570"/>
      <c r="G241" s="570"/>
      <c r="H241" s="570"/>
      <c r="I241" s="570"/>
      <c r="J241" s="570"/>
      <c r="K241" s="571"/>
      <c r="L241" s="570"/>
      <c r="M241" s="105"/>
      <c r="N241" s="58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5" t="s">
        <v>398</v>
      </c>
      <c r="D242" s="570"/>
      <c r="E242" s="570"/>
      <c r="F242" s="570"/>
      <c r="G242" s="570"/>
      <c r="H242" s="570"/>
      <c r="I242" s="570"/>
      <c r="J242" s="570"/>
      <c r="K242" s="570"/>
      <c r="L242" s="570"/>
      <c r="M242" s="105"/>
      <c r="N242" s="58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70" t="s">
        <v>90</v>
      </c>
      <c r="D243" s="570"/>
      <c r="E243" s="570"/>
      <c r="F243" s="570"/>
      <c r="G243" s="570"/>
      <c r="H243" s="570"/>
      <c r="I243" s="570"/>
      <c r="J243" s="570"/>
      <c r="K243" s="570"/>
      <c r="L243" s="570"/>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70" t="s">
        <v>91</v>
      </c>
      <c r="D244" s="570"/>
      <c r="E244" s="570"/>
      <c r="F244" s="570"/>
      <c r="G244" s="570"/>
      <c r="H244" s="570"/>
      <c r="I244" s="570"/>
      <c r="J244" s="570"/>
      <c r="K244" s="570"/>
      <c r="L244" s="570"/>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70" t="s">
        <v>502</v>
      </c>
      <c r="D245" s="570"/>
      <c r="E245" s="570"/>
      <c r="F245" s="570"/>
      <c r="G245" s="570"/>
      <c r="H245" s="570"/>
      <c r="I245" s="570"/>
      <c r="J245" s="570"/>
      <c r="K245" s="570"/>
      <c r="L245" s="570"/>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70" t="s">
        <v>92</v>
      </c>
      <c r="D246" s="570"/>
      <c r="E246" s="570"/>
      <c r="F246" s="570"/>
      <c r="G246" s="570"/>
      <c r="H246" s="570"/>
      <c r="I246" s="570"/>
      <c r="J246" s="570"/>
      <c r="K246" s="570"/>
      <c r="L246" s="570"/>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70" t="s">
        <v>93</v>
      </c>
      <c r="D247" s="570"/>
      <c r="E247" s="570"/>
      <c r="F247" s="570"/>
      <c r="G247" s="570"/>
      <c r="H247" s="570"/>
      <c r="I247" s="570"/>
      <c r="J247" s="570"/>
      <c r="K247" s="570"/>
      <c r="L247" s="570"/>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70" t="s">
        <v>94</v>
      </c>
      <c r="D248" s="570"/>
      <c r="E248" s="570"/>
      <c r="F248" s="570"/>
      <c r="G248" s="570"/>
      <c r="H248" s="570"/>
      <c r="I248" s="570"/>
      <c r="J248" s="570"/>
      <c r="K248" s="570"/>
      <c r="L248" s="570"/>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70" t="s">
        <v>95</v>
      </c>
      <c r="D249" s="570"/>
      <c r="E249" s="570"/>
      <c r="F249" s="570"/>
      <c r="G249" s="570"/>
      <c r="H249" s="570"/>
      <c r="I249" s="570"/>
      <c r="J249" s="570"/>
      <c r="K249" s="570"/>
      <c r="L249" s="570"/>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70" t="s">
        <v>96</v>
      </c>
      <c r="D250" s="570"/>
      <c r="E250" s="570"/>
      <c r="F250" s="570"/>
      <c r="G250" s="570"/>
      <c r="H250" s="570"/>
      <c r="I250" s="570"/>
      <c r="J250" s="570"/>
      <c r="K250" s="570"/>
      <c r="L250" s="570"/>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70" t="s">
        <v>298</v>
      </c>
      <c r="D251" s="570"/>
      <c r="E251" s="570"/>
      <c r="F251" s="570"/>
      <c r="G251" s="570"/>
      <c r="H251" s="570"/>
      <c r="I251" s="570"/>
      <c r="J251" s="570"/>
      <c r="L251" s="837"/>
      <c r="M251" s="838"/>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70" t="s">
        <v>97</v>
      </c>
      <c r="D252" s="570" t="s">
        <v>98</v>
      </c>
      <c r="E252" s="639">
        <v>0.21</v>
      </c>
      <c r="F252" s="570"/>
      <c r="G252" s="570"/>
      <c r="H252" s="570"/>
      <c r="I252" s="570"/>
      <c r="J252" s="570"/>
      <c r="K252" s="570"/>
      <c r="L252" s="570"/>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70"/>
      <c r="D253" s="570" t="s">
        <v>99</v>
      </c>
      <c r="E253" s="835">
        <f>+'2a - Cost Support'!L98</f>
        <v>8.8400000000000006E-2</v>
      </c>
      <c r="F253" s="570" t="s">
        <v>936</v>
      </c>
      <c r="G253" s="570"/>
      <c r="H253" s="570"/>
      <c r="I253" s="570"/>
      <c r="J253" s="570"/>
      <c r="K253" s="570"/>
      <c r="L253" s="570"/>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70"/>
      <c r="D254" s="570" t="s">
        <v>100</v>
      </c>
      <c r="E254" s="639">
        <v>0</v>
      </c>
      <c r="F254" s="570" t="s">
        <v>101</v>
      </c>
      <c r="G254" s="570"/>
      <c r="H254" s="570"/>
      <c r="I254" s="570"/>
      <c r="J254" s="570"/>
      <c r="K254" s="570"/>
      <c r="L254" s="570"/>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70"/>
      <c r="D255" s="570"/>
      <c r="E255" s="639"/>
      <c r="F255" s="570" t="s">
        <v>477</v>
      </c>
      <c r="G255" s="570"/>
      <c r="H255" s="570"/>
      <c r="I255" s="570"/>
      <c r="J255" s="570"/>
      <c r="K255" s="570"/>
      <c r="L255" s="570"/>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5" t="s">
        <v>3</v>
      </c>
      <c r="D256" s="570"/>
      <c r="E256" s="646"/>
      <c r="F256" s="570"/>
      <c r="G256" s="570"/>
      <c r="H256" s="570"/>
      <c r="I256" s="570"/>
      <c r="J256" s="570"/>
      <c r="K256" s="570"/>
      <c r="L256" s="570"/>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70" t="s">
        <v>4</v>
      </c>
      <c r="D257" s="570"/>
      <c r="E257" s="646"/>
      <c r="F257" s="570"/>
      <c r="G257" s="570"/>
      <c r="H257" s="570"/>
      <c r="I257" s="570"/>
      <c r="J257" s="570"/>
      <c r="K257" s="570"/>
      <c r="L257" s="570"/>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70" t="s">
        <v>365</v>
      </c>
      <c r="D258" s="570"/>
      <c r="E258" s="646"/>
      <c r="F258" s="570"/>
      <c r="G258" s="570"/>
      <c r="H258" s="570"/>
      <c r="I258" s="570"/>
      <c r="J258" s="570"/>
      <c r="K258" s="570"/>
      <c r="L258" s="570"/>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51" t="s">
        <v>84</v>
      </c>
      <c r="B259" s="97"/>
      <c r="C259" s="1528" t="s">
        <v>1001</v>
      </c>
      <c r="D259" s="1528"/>
      <c r="E259" s="1528"/>
      <c r="F259" s="1528"/>
      <c r="G259" s="1528"/>
      <c r="H259" s="1528"/>
      <c r="I259" s="1528"/>
      <c r="J259" s="1528"/>
      <c r="K259" s="1528"/>
      <c r="L259" s="1528"/>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70" t="s">
        <v>102</v>
      </c>
      <c r="D260" s="570"/>
      <c r="E260" s="570"/>
      <c r="F260" s="570"/>
      <c r="G260" s="570"/>
      <c r="H260" s="570"/>
      <c r="I260" s="570"/>
      <c r="J260" s="570"/>
      <c r="K260" s="570"/>
      <c r="L260" s="570"/>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70" t="s">
        <v>103</v>
      </c>
      <c r="D261" s="570"/>
      <c r="E261" s="570"/>
      <c r="F261" s="570"/>
      <c r="G261" s="570"/>
      <c r="H261" s="570"/>
      <c r="I261" s="570"/>
      <c r="J261" s="570"/>
      <c r="K261" s="570"/>
      <c r="L261" s="570"/>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70" t="s">
        <v>104</v>
      </c>
      <c r="D262" s="570"/>
      <c r="E262" s="570"/>
      <c r="F262" s="570"/>
      <c r="G262" s="570"/>
      <c r="H262" s="570"/>
      <c r="I262" s="570"/>
      <c r="J262" s="570"/>
      <c r="K262" s="570"/>
      <c r="L262" s="570"/>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70" t="s">
        <v>1039</v>
      </c>
      <c r="D263" s="570"/>
      <c r="E263" s="570"/>
      <c r="F263" s="570"/>
      <c r="G263" s="570"/>
      <c r="H263" s="570"/>
      <c r="I263" s="570"/>
      <c r="J263" s="570"/>
      <c r="K263" s="570"/>
      <c r="L263" s="570"/>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2" t="s">
        <v>468</v>
      </c>
      <c r="D264" s="570"/>
      <c r="E264" s="570"/>
      <c r="F264" s="570"/>
      <c r="G264" s="570"/>
      <c r="H264" s="570"/>
      <c r="I264" s="570"/>
      <c r="J264" s="570"/>
      <c r="K264" s="570"/>
      <c r="L264" s="570"/>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4"/>
      <c r="B265" s="444"/>
      <c r="C265" s="1529" t="s">
        <v>937</v>
      </c>
      <c r="D265" s="1529"/>
      <c r="E265" s="1529"/>
      <c r="F265" s="1529"/>
      <c r="G265" s="1529"/>
      <c r="H265" s="1529"/>
      <c r="I265" s="1529"/>
      <c r="J265" s="1529"/>
      <c r="K265" s="1529"/>
      <c r="L265" s="1529"/>
      <c r="M265" s="444"/>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444"/>
      <c r="BW265" s="444"/>
      <c r="BX265" s="444"/>
      <c r="BY265" s="444"/>
      <c r="BZ265" s="444"/>
      <c r="CA265" s="444"/>
      <c r="CB265" s="444"/>
      <c r="CC265" s="444"/>
      <c r="CD265" s="444"/>
      <c r="CE265" s="444"/>
      <c r="CF265" s="444"/>
      <c r="CG265" s="444"/>
      <c r="CH265" s="444"/>
      <c r="CI265" s="444"/>
      <c r="CJ265" s="444"/>
      <c r="CK265" s="444"/>
      <c r="CL265" s="444"/>
      <c r="CM265" s="444"/>
      <c r="CN265" s="444"/>
      <c r="CO265" s="444"/>
      <c r="CP265" s="444"/>
      <c r="CQ265" s="444"/>
      <c r="CR265" s="444"/>
      <c r="CS265" s="444"/>
      <c r="CT265" s="444"/>
      <c r="CU265" s="444"/>
      <c r="CV265" s="444"/>
      <c r="CW265" s="444"/>
      <c r="CX265" s="444"/>
      <c r="CY265" s="444"/>
      <c r="CZ265" s="444"/>
      <c r="DA265" s="444"/>
      <c r="DB265" s="444"/>
      <c r="DC265" s="444"/>
      <c r="DD265" s="444"/>
      <c r="DE265" s="444"/>
      <c r="DF265" s="444"/>
      <c r="DG265" s="444"/>
      <c r="DH265" s="444"/>
      <c r="DI265" s="444"/>
      <c r="DJ265" s="444"/>
      <c r="DK265" s="444"/>
      <c r="DL265" s="444"/>
      <c r="DM265" s="444"/>
      <c r="DN265" s="444"/>
      <c r="DO265" s="444"/>
      <c r="DP265" s="444"/>
      <c r="DQ265" s="444"/>
      <c r="DR265" s="444"/>
      <c r="DS265" s="444"/>
      <c r="DT265" s="444"/>
      <c r="DU265" s="444"/>
      <c r="DV265" s="444"/>
      <c r="DW265" s="444"/>
      <c r="DX265" s="444"/>
      <c r="DY265" s="444"/>
      <c r="DZ265" s="444"/>
      <c r="EA265" s="444"/>
      <c r="EB265" s="444"/>
      <c r="EC265" s="444"/>
      <c r="ED265" s="444"/>
      <c r="EE265" s="444"/>
      <c r="EF265" s="444"/>
      <c r="EG265" s="444"/>
      <c r="EH265" s="444"/>
      <c r="EI265" s="444"/>
      <c r="EJ265" s="444"/>
      <c r="EK265" s="444"/>
      <c r="EL265" s="444"/>
      <c r="EM265" s="444"/>
      <c r="EN265" s="444"/>
      <c r="EO265" s="444"/>
      <c r="EP265" s="444"/>
      <c r="EQ265" s="444"/>
      <c r="ER265" s="444"/>
      <c r="ES265" s="444"/>
      <c r="ET265" s="444"/>
      <c r="EU265" s="444"/>
      <c r="EV265" s="444"/>
      <c r="EW265" s="444"/>
      <c r="EX265" s="444"/>
      <c r="EY265" s="444"/>
      <c r="EZ265" s="444"/>
      <c r="FA265" s="444"/>
      <c r="FB265" s="444"/>
      <c r="FC265" s="444"/>
      <c r="FD265" s="444"/>
      <c r="FE265" s="444"/>
      <c r="FF265" s="444"/>
      <c r="FG265" s="444"/>
      <c r="FH265" s="444"/>
      <c r="FI265" s="444"/>
      <c r="FJ265" s="444"/>
      <c r="FK265" s="444"/>
      <c r="FL265" s="444"/>
      <c r="FM265" s="444"/>
      <c r="FN265" s="444"/>
      <c r="FO265" s="444"/>
      <c r="FP265" s="444"/>
      <c r="FQ265" s="444"/>
      <c r="FR265" s="444"/>
      <c r="FS265" s="444"/>
      <c r="FT265" s="444"/>
      <c r="FU265" s="444"/>
      <c r="FV265" s="444"/>
      <c r="FW265" s="444"/>
      <c r="FX265" s="444"/>
      <c r="FY265" s="444"/>
      <c r="FZ265" s="444"/>
      <c r="GA265" s="444"/>
      <c r="GB265" s="444"/>
      <c r="GC265" s="444"/>
      <c r="GD265" s="444"/>
      <c r="GE265" s="444"/>
      <c r="GF265" s="444"/>
      <c r="GG265" s="444"/>
      <c r="GH265" s="444"/>
      <c r="GI265" s="444"/>
      <c r="GJ265" s="444"/>
      <c r="GK265" s="444"/>
      <c r="GL265" s="444"/>
      <c r="GM265" s="444"/>
      <c r="GN265" s="444"/>
      <c r="GO265" s="444"/>
      <c r="GP265" s="444"/>
      <c r="GQ265" s="444"/>
      <c r="GR265" s="444"/>
      <c r="GS265" s="444"/>
      <c r="GT265" s="444"/>
      <c r="GU265" s="444"/>
      <c r="GV265" s="444"/>
      <c r="GW265" s="444"/>
      <c r="GX265" s="444"/>
      <c r="GY265" s="444"/>
      <c r="GZ265" s="444"/>
      <c r="HA265" s="444"/>
      <c r="HB265" s="444"/>
      <c r="HC265" s="444"/>
      <c r="HD265" s="444"/>
      <c r="HE265" s="444"/>
      <c r="HF265" s="444"/>
      <c r="HG265" s="444"/>
      <c r="HH265" s="444"/>
      <c r="HI265" s="444"/>
      <c r="HJ265" s="444"/>
      <c r="HK265" s="444"/>
      <c r="HL265" s="444"/>
      <c r="HM265" s="444"/>
      <c r="HN265" s="444"/>
      <c r="HO265" s="444"/>
      <c r="HP265" s="444"/>
      <c r="HQ265" s="444"/>
      <c r="HR265" s="444"/>
      <c r="HS265" s="444"/>
      <c r="HT265" s="444"/>
      <c r="HU265" s="444"/>
      <c r="HV265" s="444"/>
      <c r="HW265" s="444"/>
      <c r="HX265" s="444"/>
      <c r="HY265" s="444"/>
      <c r="HZ265" s="444"/>
      <c r="IA265" s="444"/>
      <c r="IB265" s="444"/>
      <c r="IC265" s="444"/>
      <c r="ID265" s="444"/>
      <c r="IE265" s="444"/>
      <c r="IF265" s="444"/>
      <c r="IG265" s="444"/>
      <c r="IH265" s="444"/>
      <c r="II265" s="444"/>
      <c r="IJ265" s="444"/>
      <c r="IK265" s="444"/>
      <c r="IL265" s="444"/>
      <c r="IM265" s="444"/>
      <c r="IN265" s="444"/>
      <c r="IO265" s="444"/>
      <c r="IP265" s="444"/>
      <c r="IQ265" s="444"/>
      <c r="IR265" s="444"/>
      <c r="IS265" s="444"/>
      <c r="IT265" s="444"/>
      <c r="IU265" s="444"/>
      <c r="IV265" s="444"/>
    </row>
    <row r="266" spans="1:256" ht="27.75" customHeight="1">
      <c r="A266" s="444"/>
      <c r="B266" s="444"/>
      <c r="C266" s="1529"/>
      <c r="D266" s="1529"/>
      <c r="E266" s="1529"/>
      <c r="F266" s="1529"/>
      <c r="G266" s="1529"/>
      <c r="H266" s="1529"/>
      <c r="I266" s="1529"/>
      <c r="J266" s="1529"/>
      <c r="K266" s="1529"/>
      <c r="L266" s="1529"/>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44"/>
      <c r="AY266" s="444"/>
      <c r="AZ266" s="444"/>
      <c r="BA266" s="444"/>
      <c r="BB266" s="444"/>
      <c r="BC266" s="444"/>
      <c r="BD266" s="444"/>
      <c r="BE266" s="444"/>
      <c r="BF266" s="444"/>
      <c r="BG266" s="444"/>
      <c r="BH266" s="444"/>
      <c r="BI266" s="444"/>
      <c r="BJ266" s="444"/>
      <c r="BK266" s="444"/>
      <c r="BL266" s="444"/>
      <c r="BM266" s="444"/>
      <c r="BN266" s="444"/>
      <c r="BO266" s="444"/>
      <c r="BP266" s="444"/>
      <c r="BQ266" s="444"/>
      <c r="BR266" s="444"/>
      <c r="BS266" s="444"/>
      <c r="BT266" s="444"/>
      <c r="BU266" s="444"/>
      <c r="BV266" s="444"/>
      <c r="BW266" s="444"/>
      <c r="BX266" s="444"/>
      <c r="BY266" s="444"/>
      <c r="BZ266" s="444"/>
      <c r="CA266" s="444"/>
      <c r="CB266" s="444"/>
      <c r="CC266" s="444"/>
      <c r="CD266" s="444"/>
      <c r="CE266" s="444"/>
      <c r="CF266" s="444"/>
      <c r="CG266" s="444"/>
      <c r="CH266" s="444"/>
      <c r="CI266" s="444"/>
      <c r="CJ266" s="444"/>
      <c r="CK266" s="444"/>
      <c r="CL266" s="444"/>
      <c r="CM266" s="444"/>
      <c r="CN266" s="444"/>
      <c r="CO266" s="444"/>
      <c r="CP266" s="444"/>
      <c r="CQ266" s="444"/>
      <c r="CR266" s="444"/>
      <c r="CS266" s="444"/>
      <c r="CT266" s="444"/>
      <c r="CU266" s="444"/>
      <c r="CV266" s="444"/>
      <c r="CW266" s="444"/>
      <c r="CX266" s="444"/>
      <c r="CY266" s="444"/>
      <c r="CZ266" s="444"/>
      <c r="DA266" s="444"/>
      <c r="DB266" s="444"/>
      <c r="DC266" s="444"/>
      <c r="DD266" s="444"/>
      <c r="DE266" s="444"/>
      <c r="DF266" s="444"/>
      <c r="DG266" s="444"/>
      <c r="DH266" s="444"/>
      <c r="DI266" s="444"/>
      <c r="DJ266" s="444"/>
      <c r="DK266" s="444"/>
      <c r="DL266" s="444"/>
      <c r="DM266" s="444"/>
      <c r="DN266" s="444"/>
      <c r="DO266" s="444"/>
      <c r="DP266" s="444"/>
      <c r="DQ266" s="444"/>
      <c r="DR266" s="444"/>
      <c r="DS266" s="444"/>
      <c r="DT266" s="444"/>
      <c r="DU266" s="444"/>
      <c r="DV266" s="444"/>
      <c r="DW266" s="444"/>
      <c r="DX266" s="444"/>
      <c r="DY266" s="444"/>
      <c r="DZ266" s="444"/>
      <c r="EA266" s="444"/>
      <c r="EB266" s="444"/>
      <c r="EC266" s="444"/>
      <c r="ED266" s="444"/>
      <c r="EE266" s="444"/>
      <c r="EF266" s="444"/>
      <c r="EG266" s="444"/>
      <c r="EH266" s="444"/>
      <c r="EI266" s="444"/>
      <c r="EJ266" s="444"/>
      <c r="EK266" s="444"/>
      <c r="EL266" s="444"/>
      <c r="EM266" s="444"/>
      <c r="EN266" s="444"/>
      <c r="EO266" s="444"/>
      <c r="EP266" s="444"/>
      <c r="EQ266" s="444"/>
      <c r="ER266" s="444"/>
      <c r="ES266" s="444"/>
      <c r="ET266" s="444"/>
      <c r="EU266" s="444"/>
      <c r="EV266" s="444"/>
      <c r="EW266" s="444"/>
      <c r="EX266" s="444"/>
      <c r="EY266" s="444"/>
      <c r="EZ266" s="444"/>
      <c r="FA266" s="444"/>
      <c r="FB266" s="444"/>
      <c r="FC266" s="444"/>
      <c r="FD266" s="444"/>
      <c r="FE266" s="444"/>
      <c r="FF266" s="444"/>
      <c r="FG266" s="444"/>
      <c r="FH266" s="444"/>
      <c r="FI266" s="444"/>
      <c r="FJ266" s="444"/>
      <c r="FK266" s="444"/>
      <c r="FL266" s="444"/>
      <c r="FM266" s="444"/>
      <c r="FN266" s="444"/>
      <c r="FO266" s="444"/>
      <c r="FP266" s="444"/>
      <c r="FQ266" s="444"/>
      <c r="FR266" s="444"/>
      <c r="FS266" s="444"/>
      <c r="FT266" s="444"/>
      <c r="FU266" s="444"/>
      <c r="FV266" s="444"/>
      <c r="FW266" s="444"/>
      <c r="FX266" s="444"/>
      <c r="FY266" s="444"/>
      <c r="FZ266" s="444"/>
      <c r="GA266" s="444"/>
      <c r="GB266" s="444"/>
      <c r="GC266" s="444"/>
      <c r="GD266" s="444"/>
      <c r="GE266" s="444"/>
      <c r="GF266" s="444"/>
      <c r="GG266" s="444"/>
      <c r="GH266" s="444"/>
      <c r="GI266" s="444"/>
      <c r="GJ266" s="444"/>
      <c r="GK266" s="444"/>
      <c r="GL266" s="444"/>
      <c r="GM266" s="444"/>
      <c r="GN266" s="444"/>
      <c r="GO266" s="444"/>
      <c r="GP266" s="444"/>
      <c r="GQ266" s="444"/>
      <c r="GR266" s="444"/>
      <c r="GS266" s="444"/>
      <c r="GT266" s="444"/>
      <c r="GU266" s="444"/>
      <c r="GV266" s="444"/>
      <c r="GW266" s="444"/>
      <c r="GX266" s="444"/>
      <c r="GY266" s="444"/>
      <c r="GZ266" s="444"/>
      <c r="HA266" s="444"/>
      <c r="HB266" s="444"/>
      <c r="HC266" s="444"/>
      <c r="HD266" s="444"/>
      <c r="HE266" s="444"/>
      <c r="HF266" s="444"/>
      <c r="HG266" s="444"/>
      <c r="HH266" s="444"/>
      <c r="HI266" s="444"/>
      <c r="HJ266" s="444"/>
      <c r="HK266" s="444"/>
      <c r="HL266" s="444"/>
      <c r="HM266" s="444"/>
      <c r="HN266" s="444"/>
      <c r="HO266" s="444"/>
      <c r="HP266" s="444"/>
      <c r="HQ266" s="444"/>
      <c r="HR266" s="444"/>
      <c r="HS266" s="444"/>
      <c r="HT266" s="444"/>
      <c r="HU266" s="444"/>
      <c r="HV266" s="444"/>
      <c r="HW266" s="444"/>
      <c r="HX266" s="444"/>
      <c r="HY266" s="444"/>
      <c r="HZ266" s="444"/>
      <c r="IA266" s="444"/>
      <c r="IB266" s="444"/>
      <c r="IC266" s="444"/>
      <c r="ID266" s="444"/>
      <c r="IE266" s="444"/>
      <c r="IF266" s="444"/>
      <c r="IG266" s="444"/>
      <c r="IH266" s="444"/>
      <c r="II266" s="444"/>
      <c r="IJ266" s="444"/>
      <c r="IK266" s="444"/>
      <c r="IL266" s="444"/>
      <c r="IM266" s="444"/>
      <c r="IN266" s="444"/>
      <c r="IO266" s="444"/>
      <c r="IP266" s="444"/>
      <c r="IQ266" s="444"/>
      <c r="IR266" s="444"/>
      <c r="IS266" s="444"/>
      <c r="IT266" s="444"/>
      <c r="IU266" s="444"/>
      <c r="IV266" s="444"/>
    </row>
    <row r="267" spans="1:256" ht="15.75" customHeight="1">
      <c r="A267" s="444"/>
      <c r="B267" s="444"/>
      <c r="C267" s="1529" t="s">
        <v>1059</v>
      </c>
      <c r="D267" s="1529"/>
      <c r="E267" s="1529"/>
      <c r="F267" s="1529"/>
      <c r="G267" s="1529"/>
      <c r="H267" s="1529"/>
      <c r="I267" s="1529"/>
      <c r="J267" s="1529"/>
      <c r="K267" s="1529"/>
      <c r="L267" s="1529"/>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4"/>
      <c r="AO267" s="444"/>
      <c r="AP267" s="444"/>
      <c r="AQ267" s="444"/>
      <c r="AR267" s="444"/>
      <c r="AS267" s="444"/>
      <c r="AT267" s="444"/>
      <c r="AU267" s="444"/>
      <c r="AV267" s="444"/>
      <c r="AW267" s="444"/>
      <c r="AX267" s="444"/>
      <c r="AY267" s="444"/>
      <c r="AZ267" s="444"/>
      <c r="BA267" s="444"/>
      <c r="BB267" s="444"/>
      <c r="BC267" s="444"/>
      <c r="BD267" s="444"/>
      <c r="BE267" s="444"/>
      <c r="BF267" s="444"/>
      <c r="BG267" s="444"/>
      <c r="BH267" s="444"/>
      <c r="BI267" s="444"/>
      <c r="BJ267" s="444"/>
      <c r="BK267" s="444"/>
      <c r="BL267" s="444"/>
      <c r="BM267" s="444"/>
      <c r="BN267" s="444"/>
      <c r="BO267" s="444"/>
      <c r="BP267" s="444"/>
      <c r="BQ267" s="444"/>
      <c r="BR267" s="444"/>
      <c r="BS267" s="444"/>
      <c r="BT267" s="444"/>
      <c r="BU267" s="444"/>
      <c r="BV267" s="444"/>
      <c r="BW267" s="444"/>
      <c r="BX267" s="444"/>
      <c r="BY267" s="444"/>
      <c r="BZ267" s="444"/>
      <c r="CA267" s="444"/>
      <c r="CB267" s="444"/>
      <c r="CC267" s="444"/>
      <c r="CD267" s="444"/>
      <c r="CE267" s="444"/>
      <c r="CF267" s="444"/>
      <c r="CG267" s="444"/>
      <c r="CH267" s="444"/>
      <c r="CI267" s="444"/>
      <c r="CJ267" s="444"/>
      <c r="CK267" s="444"/>
      <c r="CL267" s="444"/>
      <c r="CM267" s="444"/>
      <c r="CN267" s="444"/>
      <c r="CO267" s="444"/>
      <c r="CP267" s="444"/>
      <c r="CQ267" s="444"/>
      <c r="CR267" s="444"/>
      <c r="CS267" s="444"/>
      <c r="CT267" s="444"/>
      <c r="CU267" s="444"/>
      <c r="CV267" s="444"/>
      <c r="CW267" s="444"/>
      <c r="CX267" s="444"/>
      <c r="CY267" s="444"/>
      <c r="CZ267" s="444"/>
      <c r="DA267" s="444"/>
      <c r="DB267" s="444"/>
      <c r="DC267" s="444"/>
      <c r="DD267" s="444"/>
      <c r="DE267" s="444"/>
      <c r="DF267" s="444"/>
      <c r="DG267" s="444"/>
      <c r="DH267" s="444"/>
      <c r="DI267" s="444"/>
      <c r="DJ267" s="444"/>
      <c r="DK267" s="444"/>
      <c r="DL267" s="444"/>
      <c r="DM267" s="444"/>
      <c r="DN267" s="444"/>
      <c r="DO267" s="444"/>
      <c r="DP267" s="444"/>
      <c r="DQ267" s="444"/>
      <c r="DR267" s="444"/>
      <c r="DS267" s="444"/>
      <c r="DT267" s="444"/>
      <c r="DU267" s="444"/>
      <c r="DV267" s="444"/>
      <c r="DW267" s="444"/>
      <c r="DX267" s="444"/>
      <c r="DY267" s="444"/>
      <c r="DZ267" s="444"/>
      <c r="EA267" s="444"/>
      <c r="EB267" s="444"/>
      <c r="EC267" s="444"/>
      <c r="ED267" s="444"/>
      <c r="EE267" s="444"/>
      <c r="EF267" s="444"/>
      <c r="EG267" s="444"/>
      <c r="EH267" s="444"/>
      <c r="EI267" s="444"/>
      <c r="EJ267" s="444"/>
      <c r="EK267" s="444"/>
      <c r="EL267" s="444"/>
      <c r="EM267" s="444"/>
      <c r="EN267" s="444"/>
      <c r="EO267" s="444"/>
      <c r="EP267" s="444"/>
      <c r="EQ267" s="444"/>
      <c r="ER267" s="444"/>
      <c r="ES267" s="444"/>
      <c r="ET267" s="444"/>
      <c r="EU267" s="444"/>
      <c r="EV267" s="444"/>
      <c r="EW267" s="444"/>
      <c r="EX267" s="444"/>
      <c r="EY267" s="444"/>
      <c r="EZ267" s="444"/>
      <c r="FA267" s="444"/>
      <c r="FB267" s="444"/>
      <c r="FC267" s="444"/>
      <c r="FD267" s="444"/>
      <c r="FE267" s="444"/>
      <c r="FF267" s="444"/>
      <c r="FG267" s="444"/>
      <c r="FH267" s="444"/>
      <c r="FI267" s="444"/>
      <c r="FJ267" s="444"/>
      <c r="FK267" s="444"/>
      <c r="FL267" s="444"/>
      <c r="FM267" s="444"/>
      <c r="FN267" s="444"/>
      <c r="FO267" s="444"/>
      <c r="FP267" s="444"/>
      <c r="FQ267" s="444"/>
      <c r="FR267" s="444"/>
      <c r="FS267" s="444"/>
      <c r="FT267" s="444"/>
      <c r="FU267" s="444"/>
      <c r="FV267" s="444"/>
      <c r="FW267" s="444"/>
      <c r="FX267" s="444"/>
      <c r="FY267" s="444"/>
      <c r="FZ267" s="444"/>
      <c r="GA267" s="444"/>
      <c r="GB267" s="444"/>
      <c r="GC267" s="444"/>
      <c r="GD267" s="444"/>
      <c r="GE267" s="444"/>
      <c r="GF267" s="444"/>
      <c r="GG267" s="444"/>
      <c r="GH267" s="444"/>
      <c r="GI267" s="444"/>
      <c r="GJ267" s="444"/>
      <c r="GK267" s="444"/>
      <c r="GL267" s="444"/>
      <c r="GM267" s="444"/>
      <c r="GN267" s="444"/>
      <c r="GO267" s="444"/>
      <c r="GP267" s="444"/>
      <c r="GQ267" s="444"/>
      <c r="GR267" s="444"/>
      <c r="GS267" s="444"/>
      <c r="GT267" s="444"/>
      <c r="GU267" s="444"/>
      <c r="GV267" s="444"/>
      <c r="GW267" s="444"/>
      <c r="GX267" s="444"/>
      <c r="GY267" s="444"/>
      <c r="GZ267" s="444"/>
      <c r="HA267" s="444"/>
      <c r="HB267" s="444"/>
      <c r="HC267" s="444"/>
      <c r="HD267" s="444"/>
      <c r="HE267" s="444"/>
      <c r="HF267" s="444"/>
      <c r="HG267" s="444"/>
      <c r="HH267" s="444"/>
      <c r="HI267" s="444"/>
      <c r="HJ267" s="444"/>
      <c r="HK267" s="444"/>
      <c r="HL267" s="444"/>
      <c r="HM267" s="444"/>
      <c r="HN267" s="444"/>
      <c r="HO267" s="444"/>
      <c r="HP267" s="444"/>
      <c r="HQ267" s="444"/>
      <c r="HR267" s="444"/>
      <c r="HS267" s="444"/>
      <c r="HT267" s="444"/>
      <c r="HU267" s="444"/>
      <c r="HV267" s="444"/>
      <c r="HW267" s="444"/>
      <c r="HX267" s="444"/>
      <c r="HY267" s="444"/>
      <c r="HZ267" s="444"/>
      <c r="IA267" s="444"/>
      <c r="IB267" s="444"/>
      <c r="IC267" s="444"/>
      <c r="ID267" s="444"/>
      <c r="IE267" s="444"/>
      <c r="IF267" s="444"/>
      <c r="IG267" s="444"/>
      <c r="IH267" s="444"/>
      <c r="II267" s="444"/>
      <c r="IJ267" s="444"/>
      <c r="IK267" s="444"/>
      <c r="IL267" s="444"/>
      <c r="IM267" s="444"/>
      <c r="IN267" s="444"/>
      <c r="IO267" s="444"/>
      <c r="IP267" s="444"/>
      <c r="IQ267" s="444"/>
      <c r="IR267" s="444"/>
      <c r="IS267" s="444"/>
      <c r="IT267" s="444"/>
      <c r="IU267" s="444"/>
      <c r="IV267" s="444"/>
    </row>
    <row r="268" spans="1:256" ht="15.75" customHeight="1">
      <c r="A268" s="444"/>
      <c r="B268" s="444"/>
      <c r="C268" s="1529"/>
      <c r="D268" s="1529"/>
      <c r="E268" s="1529"/>
      <c r="F268" s="1529"/>
      <c r="G268" s="1529"/>
      <c r="H268" s="1529"/>
      <c r="I268" s="1529"/>
      <c r="J268" s="1529"/>
      <c r="K268" s="1529"/>
      <c r="L268" s="1529"/>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4"/>
      <c r="AO268" s="444"/>
      <c r="AP268" s="444"/>
      <c r="AQ268" s="444"/>
      <c r="AR268" s="444"/>
      <c r="AS268" s="444"/>
      <c r="AT268" s="444"/>
      <c r="AU268" s="444"/>
      <c r="AV268" s="444"/>
      <c r="AW268" s="444"/>
      <c r="AX268" s="444"/>
      <c r="AY268" s="444"/>
      <c r="AZ268" s="444"/>
      <c r="BA268" s="444"/>
      <c r="BB268" s="444"/>
      <c r="BC268" s="444"/>
      <c r="BD268" s="444"/>
      <c r="BE268" s="444"/>
      <c r="BF268" s="444"/>
      <c r="BG268" s="444"/>
      <c r="BH268" s="444"/>
      <c r="BI268" s="444"/>
      <c r="BJ268" s="444"/>
      <c r="BK268" s="444"/>
      <c r="BL268" s="444"/>
      <c r="BM268" s="444"/>
      <c r="BN268" s="444"/>
      <c r="BO268" s="444"/>
      <c r="BP268" s="444"/>
      <c r="BQ268" s="444"/>
      <c r="BR268" s="444"/>
      <c r="BS268" s="444"/>
      <c r="BT268" s="444"/>
      <c r="BU268" s="444"/>
      <c r="BV268" s="444"/>
      <c r="BW268" s="444"/>
      <c r="BX268" s="444"/>
      <c r="BY268" s="444"/>
      <c r="BZ268" s="444"/>
      <c r="CA268" s="444"/>
      <c r="CB268" s="444"/>
      <c r="CC268" s="444"/>
      <c r="CD268" s="444"/>
      <c r="CE268" s="444"/>
      <c r="CF268" s="444"/>
      <c r="CG268" s="444"/>
      <c r="CH268" s="444"/>
      <c r="CI268" s="444"/>
      <c r="CJ268" s="444"/>
      <c r="CK268" s="444"/>
      <c r="CL268" s="444"/>
      <c r="CM268" s="444"/>
      <c r="CN268" s="444"/>
      <c r="CO268" s="444"/>
      <c r="CP268" s="444"/>
      <c r="CQ268" s="444"/>
      <c r="CR268" s="444"/>
      <c r="CS268" s="444"/>
      <c r="CT268" s="444"/>
      <c r="CU268" s="444"/>
      <c r="CV268" s="444"/>
      <c r="CW268" s="444"/>
      <c r="CX268" s="444"/>
      <c r="CY268" s="444"/>
      <c r="CZ268" s="444"/>
      <c r="DA268" s="444"/>
      <c r="DB268" s="444"/>
      <c r="DC268" s="444"/>
      <c r="DD268" s="444"/>
      <c r="DE268" s="444"/>
      <c r="DF268" s="444"/>
      <c r="DG268" s="444"/>
      <c r="DH268" s="444"/>
      <c r="DI268" s="444"/>
      <c r="DJ268" s="444"/>
      <c r="DK268" s="444"/>
      <c r="DL268" s="444"/>
      <c r="DM268" s="444"/>
      <c r="DN268" s="444"/>
      <c r="DO268" s="444"/>
      <c r="DP268" s="444"/>
      <c r="DQ268" s="444"/>
      <c r="DR268" s="444"/>
      <c r="DS268" s="444"/>
      <c r="DT268" s="444"/>
      <c r="DU268" s="444"/>
      <c r="DV268" s="444"/>
      <c r="DW268" s="444"/>
      <c r="DX268" s="444"/>
      <c r="DY268" s="444"/>
      <c r="DZ268" s="444"/>
      <c r="EA268" s="444"/>
      <c r="EB268" s="444"/>
      <c r="EC268" s="444"/>
      <c r="ED268" s="444"/>
      <c r="EE268" s="444"/>
      <c r="EF268" s="444"/>
      <c r="EG268" s="444"/>
      <c r="EH268" s="444"/>
      <c r="EI268" s="444"/>
      <c r="EJ268" s="444"/>
      <c r="EK268" s="444"/>
      <c r="EL268" s="444"/>
      <c r="EM268" s="444"/>
      <c r="EN268" s="444"/>
      <c r="EO268" s="444"/>
      <c r="EP268" s="444"/>
      <c r="EQ268" s="444"/>
      <c r="ER268" s="444"/>
      <c r="ES268" s="444"/>
      <c r="ET268" s="444"/>
      <c r="EU268" s="444"/>
      <c r="EV268" s="444"/>
      <c r="EW268" s="444"/>
      <c r="EX268" s="444"/>
      <c r="EY268" s="444"/>
      <c r="EZ268" s="444"/>
      <c r="FA268" s="444"/>
      <c r="FB268" s="444"/>
      <c r="FC268" s="444"/>
      <c r="FD268" s="444"/>
      <c r="FE268" s="444"/>
      <c r="FF268" s="444"/>
      <c r="FG268" s="444"/>
      <c r="FH268" s="444"/>
      <c r="FI268" s="444"/>
      <c r="FJ268" s="444"/>
      <c r="FK268" s="444"/>
      <c r="FL268" s="444"/>
      <c r="FM268" s="444"/>
      <c r="FN268" s="444"/>
      <c r="FO268" s="444"/>
      <c r="FP268" s="444"/>
      <c r="FQ268" s="444"/>
      <c r="FR268" s="444"/>
      <c r="FS268" s="444"/>
      <c r="FT268" s="444"/>
      <c r="FU268" s="444"/>
      <c r="FV268" s="444"/>
      <c r="FW268" s="444"/>
      <c r="FX268" s="444"/>
      <c r="FY268" s="444"/>
      <c r="FZ268" s="444"/>
      <c r="GA268" s="444"/>
      <c r="GB268" s="444"/>
      <c r="GC268" s="444"/>
      <c r="GD268" s="444"/>
      <c r="GE268" s="444"/>
      <c r="GF268" s="444"/>
      <c r="GG268" s="444"/>
      <c r="GH268" s="444"/>
      <c r="GI268" s="444"/>
      <c r="GJ268" s="444"/>
      <c r="GK268" s="444"/>
      <c r="GL268" s="444"/>
      <c r="GM268" s="444"/>
      <c r="GN268" s="444"/>
      <c r="GO268" s="444"/>
      <c r="GP268" s="444"/>
      <c r="GQ268" s="444"/>
      <c r="GR268" s="444"/>
      <c r="GS268" s="444"/>
      <c r="GT268" s="444"/>
      <c r="GU268" s="444"/>
      <c r="GV268" s="444"/>
      <c r="GW268" s="444"/>
      <c r="GX268" s="444"/>
      <c r="GY268" s="444"/>
      <c r="GZ268" s="444"/>
      <c r="HA268" s="444"/>
      <c r="HB268" s="444"/>
      <c r="HC268" s="444"/>
      <c r="HD268" s="444"/>
      <c r="HE268" s="444"/>
      <c r="HF268" s="444"/>
      <c r="HG268" s="444"/>
      <c r="HH268" s="444"/>
      <c r="HI268" s="444"/>
      <c r="HJ268" s="444"/>
      <c r="HK268" s="444"/>
      <c r="HL268" s="444"/>
      <c r="HM268" s="444"/>
      <c r="HN268" s="444"/>
      <c r="HO268" s="444"/>
      <c r="HP268" s="444"/>
      <c r="HQ268" s="444"/>
      <c r="HR268" s="444"/>
      <c r="HS268" s="444"/>
      <c r="HT268" s="444"/>
      <c r="HU268" s="444"/>
      <c r="HV268" s="444"/>
      <c r="HW268" s="444"/>
      <c r="HX268" s="444"/>
      <c r="HY268" s="444"/>
      <c r="HZ268" s="444"/>
      <c r="IA268" s="444"/>
      <c r="IB268" s="444"/>
      <c r="IC268" s="444"/>
      <c r="ID268" s="444"/>
      <c r="IE268" s="444"/>
      <c r="IF268" s="444"/>
      <c r="IG268" s="444"/>
      <c r="IH268" s="444"/>
      <c r="II268" s="444"/>
      <c r="IJ268" s="444"/>
      <c r="IK268" s="444"/>
      <c r="IL268" s="444"/>
      <c r="IM268" s="444"/>
      <c r="IN268" s="444"/>
      <c r="IO268" s="444"/>
      <c r="IP268" s="444"/>
      <c r="IQ268" s="444"/>
      <c r="IR268" s="444"/>
      <c r="IS268" s="444"/>
      <c r="IT268" s="444"/>
      <c r="IU268" s="444"/>
      <c r="IV268" s="444"/>
    </row>
    <row r="269" spans="1:256" ht="56.25" customHeight="1">
      <c r="A269" s="1218" t="s">
        <v>318</v>
      </c>
      <c r="B269" s="445"/>
      <c r="C269" s="1526" t="s">
        <v>379</v>
      </c>
      <c r="D269" s="1526"/>
      <c r="E269" s="1526"/>
      <c r="F269" s="1526"/>
      <c r="G269" s="1526"/>
      <c r="H269" s="1526"/>
      <c r="I269" s="1526"/>
      <c r="J269" s="1526"/>
      <c r="K269" s="1526"/>
      <c r="L269" s="1526"/>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5"/>
      <c r="BP269" s="445"/>
      <c r="BQ269" s="445"/>
      <c r="BR269" s="445"/>
      <c r="BS269" s="445"/>
      <c r="BT269" s="445"/>
      <c r="BU269" s="445"/>
      <c r="BV269" s="445"/>
      <c r="BW269" s="445"/>
      <c r="BX269" s="445"/>
      <c r="BY269" s="445"/>
      <c r="BZ269" s="445"/>
      <c r="CA269" s="445"/>
      <c r="CB269" s="445"/>
      <c r="CC269" s="445"/>
      <c r="CD269" s="445"/>
      <c r="CE269" s="445"/>
      <c r="CF269" s="445"/>
      <c r="CG269" s="445"/>
      <c r="CH269" s="445"/>
      <c r="CI269" s="445"/>
      <c r="CJ269" s="445"/>
      <c r="CK269" s="445"/>
      <c r="CL269" s="445"/>
      <c r="CM269" s="445"/>
      <c r="CN269" s="445"/>
      <c r="CO269" s="445"/>
      <c r="CP269" s="445"/>
      <c r="CQ269" s="445"/>
      <c r="CR269" s="445"/>
      <c r="CS269" s="445"/>
      <c r="CT269" s="445"/>
      <c r="CU269" s="445"/>
      <c r="CV269" s="445"/>
      <c r="CW269" s="445"/>
      <c r="CX269" s="445"/>
      <c r="CY269" s="445"/>
      <c r="CZ269" s="445"/>
      <c r="DA269" s="445"/>
      <c r="DB269" s="445"/>
      <c r="DC269" s="445"/>
      <c r="DD269" s="445"/>
      <c r="DE269" s="445"/>
      <c r="DF269" s="445"/>
      <c r="DG269" s="445"/>
      <c r="DH269" s="445"/>
      <c r="DI269" s="445"/>
      <c r="DJ269" s="445"/>
      <c r="DK269" s="445"/>
      <c r="DL269" s="445"/>
      <c r="DM269" s="445"/>
      <c r="DN269" s="445"/>
      <c r="DO269" s="445"/>
      <c r="DP269" s="445"/>
      <c r="DQ269" s="445"/>
      <c r="DR269" s="445"/>
      <c r="DS269" s="445"/>
      <c r="DT269" s="445"/>
      <c r="DU269" s="445"/>
      <c r="DV269" s="445"/>
      <c r="DW269" s="445"/>
      <c r="DX269" s="445"/>
      <c r="DY269" s="445"/>
      <c r="DZ269" s="445"/>
      <c r="EA269" s="445"/>
      <c r="EB269" s="445"/>
      <c r="EC269" s="445"/>
      <c r="ED269" s="445"/>
      <c r="EE269" s="445"/>
      <c r="EF269" s="445"/>
      <c r="EG269" s="445"/>
      <c r="EH269" s="445"/>
      <c r="EI269" s="445"/>
      <c r="EJ269" s="445"/>
      <c r="EK269" s="445"/>
      <c r="EL269" s="445"/>
      <c r="EM269" s="445"/>
      <c r="EN269" s="445"/>
      <c r="EO269" s="445"/>
      <c r="EP269" s="445"/>
      <c r="EQ269" s="445"/>
      <c r="ER269" s="445"/>
      <c r="ES269" s="445"/>
      <c r="ET269" s="445"/>
      <c r="EU269" s="445"/>
      <c r="EV269" s="445"/>
      <c r="EW269" s="445"/>
      <c r="EX269" s="445"/>
      <c r="EY269" s="445"/>
      <c r="EZ269" s="445"/>
      <c r="FA269" s="445"/>
      <c r="FB269" s="445"/>
      <c r="FC269" s="445"/>
      <c r="FD269" s="445"/>
      <c r="FE269" s="445"/>
      <c r="FF269" s="445"/>
      <c r="FG269" s="445"/>
      <c r="FH269" s="445"/>
      <c r="FI269" s="445"/>
      <c r="FJ269" s="445"/>
      <c r="FK269" s="445"/>
      <c r="FL269" s="445"/>
      <c r="FM269" s="445"/>
      <c r="FN269" s="445"/>
      <c r="FO269" s="445"/>
      <c r="FP269" s="445"/>
      <c r="FQ269" s="445"/>
      <c r="FR269" s="445"/>
      <c r="FS269" s="445"/>
      <c r="FT269" s="445"/>
      <c r="FU269" s="445"/>
      <c r="FV269" s="445"/>
      <c r="FW269" s="445"/>
      <c r="FX269" s="445"/>
      <c r="FY269" s="445"/>
      <c r="FZ269" s="445"/>
      <c r="GA269" s="445"/>
      <c r="GB269" s="445"/>
      <c r="GC269" s="445"/>
      <c r="GD269" s="445"/>
      <c r="GE269" s="445"/>
      <c r="GF269" s="445"/>
      <c r="GG269" s="445"/>
      <c r="GH269" s="445"/>
      <c r="GI269" s="445"/>
      <c r="GJ269" s="445"/>
      <c r="GK269" s="445"/>
      <c r="GL269" s="445"/>
      <c r="GM269" s="445"/>
      <c r="GN269" s="445"/>
      <c r="GO269" s="445"/>
      <c r="GP269" s="445"/>
      <c r="GQ269" s="445"/>
      <c r="GR269" s="445"/>
      <c r="GS269" s="445"/>
      <c r="GT269" s="445"/>
      <c r="GU269" s="445"/>
      <c r="GV269" s="445"/>
      <c r="GW269" s="445"/>
      <c r="GX269" s="445"/>
      <c r="GY269" s="445"/>
      <c r="GZ269" s="445"/>
      <c r="HA269" s="445"/>
      <c r="HB269" s="445"/>
      <c r="HC269" s="445"/>
      <c r="HD269" s="445"/>
      <c r="HE269" s="445"/>
      <c r="HF269" s="445"/>
      <c r="HG269" s="445"/>
      <c r="HH269" s="445"/>
      <c r="HI269" s="445"/>
      <c r="HJ269" s="445"/>
      <c r="HK269" s="445"/>
      <c r="HL269" s="445"/>
      <c r="HM269" s="445"/>
      <c r="HN269" s="445"/>
      <c r="HO269" s="445"/>
      <c r="HP269" s="445"/>
      <c r="HQ269" s="445"/>
      <c r="HR269" s="445"/>
      <c r="HS269" s="445"/>
      <c r="HT269" s="445"/>
      <c r="HU269" s="445"/>
      <c r="HV269" s="445"/>
      <c r="HW269" s="445"/>
      <c r="HX269" s="445"/>
      <c r="HY269" s="445"/>
      <c r="HZ269" s="445"/>
      <c r="IA269" s="445"/>
      <c r="IB269" s="445"/>
      <c r="IC269" s="445"/>
      <c r="ID269" s="445"/>
      <c r="IE269" s="445"/>
      <c r="IF269" s="445"/>
      <c r="IG269" s="445"/>
      <c r="IH269" s="445"/>
      <c r="II269" s="445"/>
      <c r="IJ269" s="445"/>
      <c r="IK269" s="445"/>
      <c r="IL269" s="445"/>
      <c r="IM269" s="445"/>
      <c r="IN269" s="445"/>
      <c r="IO269" s="445"/>
      <c r="IP269" s="445"/>
      <c r="IQ269" s="445"/>
      <c r="IR269" s="445"/>
      <c r="IS269" s="445"/>
      <c r="IT269" s="445"/>
      <c r="IU269" s="445"/>
      <c r="IV269" s="445"/>
    </row>
    <row r="270" spans="1:256" ht="18">
      <c r="A270" s="1219" t="s">
        <v>480</v>
      </c>
      <c r="B270" s="445"/>
      <c r="C270" s="571" t="s">
        <v>938</v>
      </c>
      <c r="D270" s="615"/>
      <c r="E270" s="615"/>
      <c r="F270" s="615"/>
      <c r="G270" s="615"/>
      <c r="H270" s="615"/>
      <c r="I270" s="615"/>
      <c r="J270" s="615"/>
      <c r="K270" s="615"/>
      <c r="L270" s="615"/>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5"/>
      <c r="AM270" s="445"/>
      <c r="AN270" s="445"/>
      <c r="AO270" s="445"/>
      <c r="AP270" s="445"/>
      <c r="AQ270" s="445"/>
      <c r="AR270" s="445"/>
      <c r="AS270" s="445"/>
      <c r="AT270" s="445"/>
      <c r="AU270" s="445"/>
      <c r="AV270" s="445"/>
      <c r="AW270" s="445"/>
      <c r="AX270" s="445"/>
      <c r="AY270" s="445"/>
      <c r="AZ270" s="445"/>
      <c r="BA270" s="445"/>
      <c r="BB270" s="445"/>
      <c r="BC270" s="445"/>
      <c r="BD270" s="445"/>
      <c r="BE270" s="445"/>
      <c r="BF270" s="445"/>
      <c r="BG270" s="445"/>
      <c r="BH270" s="445"/>
      <c r="BI270" s="445"/>
      <c r="BJ270" s="445"/>
      <c r="BK270" s="445"/>
      <c r="BL270" s="445"/>
      <c r="BM270" s="445"/>
      <c r="BN270" s="445"/>
      <c r="BO270" s="445"/>
      <c r="BP270" s="445"/>
      <c r="BQ270" s="445"/>
      <c r="BR270" s="445"/>
      <c r="BS270" s="445"/>
      <c r="BT270" s="445"/>
      <c r="BU270" s="445"/>
      <c r="BV270" s="445"/>
      <c r="BW270" s="445"/>
      <c r="BX270" s="445"/>
      <c r="BY270" s="445"/>
      <c r="BZ270" s="445"/>
      <c r="CA270" s="445"/>
      <c r="CB270" s="445"/>
      <c r="CC270" s="445"/>
      <c r="CD270" s="445"/>
      <c r="CE270" s="445"/>
      <c r="CF270" s="445"/>
      <c r="CG270" s="445"/>
      <c r="CH270" s="445"/>
      <c r="CI270" s="445"/>
      <c r="CJ270" s="445"/>
      <c r="CK270" s="445"/>
      <c r="CL270" s="445"/>
      <c r="CM270" s="445"/>
      <c r="CN270" s="445"/>
      <c r="CO270" s="445"/>
      <c r="CP270" s="445"/>
      <c r="CQ270" s="445"/>
      <c r="CR270" s="445"/>
      <c r="CS270" s="445"/>
      <c r="CT270" s="445"/>
      <c r="CU270" s="445"/>
      <c r="CV270" s="445"/>
      <c r="CW270" s="445"/>
      <c r="CX270" s="445"/>
      <c r="CY270" s="445"/>
      <c r="CZ270" s="445"/>
      <c r="DA270" s="445"/>
      <c r="DB270" s="445"/>
      <c r="DC270" s="445"/>
      <c r="DD270" s="445"/>
      <c r="DE270" s="445"/>
      <c r="DF270" s="445"/>
      <c r="DG270" s="445"/>
      <c r="DH270" s="445"/>
      <c r="DI270" s="445"/>
      <c r="DJ270" s="445"/>
      <c r="DK270" s="445"/>
      <c r="DL270" s="445"/>
      <c r="DM270" s="445"/>
      <c r="DN270" s="445"/>
      <c r="DO270" s="445"/>
      <c r="DP270" s="445"/>
      <c r="DQ270" s="445"/>
      <c r="DR270" s="445"/>
      <c r="DS270" s="445"/>
      <c r="DT270" s="445"/>
      <c r="DU270" s="445"/>
      <c r="DV270" s="445"/>
      <c r="DW270" s="445"/>
      <c r="DX270" s="445"/>
      <c r="DY270" s="445"/>
      <c r="DZ270" s="445"/>
      <c r="EA270" s="445"/>
      <c r="EB270" s="445"/>
      <c r="EC270" s="445"/>
      <c r="ED270" s="445"/>
      <c r="EE270" s="445"/>
      <c r="EF270" s="445"/>
      <c r="EG270" s="445"/>
      <c r="EH270" s="445"/>
      <c r="EI270" s="445"/>
      <c r="EJ270" s="445"/>
      <c r="EK270" s="445"/>
      <c r="EL270" s="445"/>
      <c r="EM270" s="445"/>
      <c r="EN270" s="445"/>
      <c r="EO270" s="445"/>
      <c r="EP270" s="445"/>
      <c r="EQ270" s="445"/>
      <c r="ER270" s="445"/>
      <c r="ES270" s="445"/>
      <c r="ET270" s="445"/>
      <c r="EU270" s="445"/>
      <c r="EV270" s="445"/>
      <c r="EW270" s="445"/>
      <c r="EX270" s="445"/>
      <c r="EY270" s="445"/>
      <c r="EZ270" s="445"/>
      <c r="FA270" s="445"/>
      <c r="FB270" s="445"/>
      <c r="FC270" s="445"/>
      <c r="FD270" s="445"/>
      <c r="FE270" s="445"/>
      <c r="FF270" s="445"/>
      <c r="FG270" s="445"/>
      <c r="FH270" s="445"/>
      <c r="FI270" s="445"/>
      <c r="FJ270" s="445"/>
      <c r="FK270" s="445"/>
      <c r="FL270" s="445"/>
      <c r="FM270" s="445"/>
      <c r="FN270" s="445"/>
      <c r="FO270" s="445"/>
      <c r="FP270" s="445"/>
      <c r="FQ270" s="445"/>
      <c r="FR270" s="445"/>
      <c r="FS270" s="445"/>
      <c r="FT270" s="445"/>
      <c r="FU270" s="445"/>
      <c r="FV270" s="445"/>
      <c r="FW270" s="445"/>
      <c r="FX270" s="445"/>
      <c r="FY270" s="445"/>
      <c r="FZ270" s="445"/>
      <c r="GA270" s="445"/>
      <c r="GB270" s="445"/>
      <c r="GC270" s="445"/>
      <c r="GD270" s="445"/>
      <c r="GE270" s="445"/>
      <c r="GF270" s="445"/>
      <c r="GG270" s="445"/>
      <c r="GH270" s="445"/>
      <c r="GI270" s="445"/>
      <c r="GJ270" s="445"/>
      <c r="GK270" s="445"/>
      <c r="GL270" s="445"/>
      <c r="GM270" s="445"/>
      <c r="GN270" s="445"/>
      <c r="GO270" s="445"/>
      <c r="GP270" s="445"/>
      <c r="GQ270" s="445"/>
      <c r="GR270" s="445"/>
      <c r="GS270" s="445"/>
      <c r="GT270" s="445"/>
      <c r="GU270" s="445"/>
      <c r="GV270" s="445"/>
      <c r="GW270" s="445"/>
      <c r="GX270" s="445"/>
      <c r="GY270" s="445"/>
      <c r="GZ270" s="445"/>
      <c r="HA270" s="445"/>
      <c r="HB270" s="445"/>
      <c r="HC270" s="445"/>
      <c r="HD270" s="445"/>
      <c r="HE270" s="445"/>
      <c r="HF270" s="445"/>
      <c r="HG270" s="445"/>
      <c r="HH270" s="445"/>
      <c r="HI270" s="445"/>
      <c r="HJ270" s="445"/>
      <c r="HK270" s="445"/>
      <c r="HL270" s="445"/>
      <c r="HM270" s="445"/>
      <c r="HN270" s="445"/>
      <c r="HO270" s="445"/>
      <c r="HP270" s="445"/>
      <c r="HQ270" s="445"/>
      <c r="HR270" s="445"/>
      <c r="HS270" s="445"/>
      <c r="HT270" s="445"/>
      <c r="HU270" s="445"/>
      <c r="HV270" s="445"/>
      <c r="HW270" s="445"/>
      <c r="HX270" s="445"/>
      <c r="HY270" s="445"/>
      <c r="HZ270" s="445"/>
      <c r="IA270" s="445"/>
      <c r="IB270" s="445"/>
      <c r="IC270" s="445"/>
      <c r="ID270" s="445"/>
      <c r="IE270" s="445"/>
      <c r="IF270" s="445"/>
      <c r="IG270" s="445"/>
      <c r="IH270" s="445"/>
      <c r="II270" s="445"/>
      <c r="IJ270" s="445"/>
      <c r="IK270" s="445"/>
      <c r="IL270" s="445"/>
      <c r="IM270" s="445"/>
      <c r="IN270" s="445"/>
      <c r="IO270" s="445"/>
      <c r="IP270" s="445"/>
      <c r="IQ270" s="445"/>
      <c r="IR270" s="445"/>
      <c r="IS270" s="445"/>
      <c r="IT270" s="445"/>
      <c r="IU270" s="445"/>
      <c r="IV270" s="445"/>
    </row>
    <row r="271" spans="1:256" ht="18.75">
      <c r="A271" s="413" t="s">
        <v>481</v>
      </c>
      <c r="B271" s="97"/>
      <c r="C271" s="645" t="s">
        <v>503</v>
      </c>
      <c r="D271" s="570"/>
      <c r="E271" s="570"/>
      <c r="F271" s="570"/>
      <c r="G271" s="570"/>
      <c r="H271" s="570"/>
      <c r="I271" s="570"/>
      <c r="J271" s="570"/>
      <c r="K271" s="570"/>
      <c r="L271" s="570"/>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5" t="s">
        <v>939</v>
      </c>
      <c r="D272" s="570"/>
      <c r="E272" s="570"/>
      <c r="F272" s="570"/>
      <c r="G272" s="570"/>
      <c r="H272" s="570"/>
      <c r="I272" s="570"/>
      <c r="J272" s="570"/>
      <c r="K272" s="570"/>
      <c r="L272" s="570"/>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484</v>
      </c>
      <c r="B273" s="97"/>
      <c r="C273" s="867" t="s">
        <v>1052</v>
      </c>
      <c r="D273" s="601"/>
      <c r="E273" s="601"/>
      <c r="F273" s="601"/>
      <c r="G273" s="601"/>
      <c r="H273" s="601"/>
      <c r="I273" s="601"/>
      <c r="J273" s="601"/>
      <c r="K273" s="601"/>
      <c r="L273" s="601"/>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489</v>
      </c>
      <c r="B274" s="92"/>
      <c r="C274" s="866" t="s">
        <v>490</v>
      </c>
      <c r="D274" s="866"/>
      <c r="E274" s="866"/>
      <c r="F274" s="866"/>
      <c r="G274" s="866"/>
      <c r="H274" s="866"/>
      <c r="I274" s="866"/>
      <c r="J274" s="866"/>
      <c r="K274" s="866"/>
      <c r="L274" s="866"/>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505</v>
      </c>
      <c r="B275" s="92"/>
      <c r="C275" s="866" t="s">
        <v>509</v>
      </c>
      <c r="D275" s="866"/>
      <c r="E275" s="866"/>
      <c r="F275" s="866"/>
      <c r="G275" s="866"/>
      <c r="H275" s="866"/>
      <c r="I275" s="866"/>
      <c r="J275" s="866"/>
      <c r="K275" s="866"/>
      <c r="L275" s="866"/>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755</v>
      </c>
      <c r="B276" s="92"/>
      <c r="C276" s="1528" t="s">
        <v>1053</v>
      </c>
      <c r="D276" s="1528"/>
      <c r="E276" s="1528"/>
      <c r="F276" s="1528"/>
      <c r="G276" s="1528"/>
      <c r="H276" s="1528"/>
      <c r="I276" s="1528"/>
      <c r="J276" s="1528"/>
      <c r="K276" s="1528"/>
      <c r="L276" s="1528"/>
      <c r="M276" s="108"/>
      <c r="N276" s="109"/>
      <c r="O276" s="63"/>
      <c r="P276" s="63"/>
      <c r="Q276" s="63"/>
    </row>
    <row r="277" spans="1:61" ht="21.75" customHeight="1">
      <c r="A277" s="92"/>
      <c r="B277" s="92"/>
      <c r="M277" s="108"/>
      <c r="N277" s="109"/>
      <c r="O277" s="63"/>
      <c r="P277" s="63"/>
      <c r="Q277" s="63"/>
    </row>
    <row r="278" spans="1:61" ht="18">
      <c r="A278" s="92"/>
      <c r="B278" s="92"/>
      <c r="C278" s="582"/>
      <c r="D278" s="583"/>
      <c r="E278" s="581"/>
      <c r="F278" s="581"/>
      <c r="G278" s="583"/>
      <c r="H278" s="583"/>
      <c r="I278" s="109"/>
      <c r="J278" s="109"/>
      <c r="K278" s="109"/>
      <c r="L278" s="109"/>
      <c r="M278" s="109"/>
      <c r="N278" s="109"/>
      <c r="O278" s="63"/>
      <c r="P278" s="63"/>
      <c r="Q278" s="63"/>
    </row>
    <row r="279" spans="1:61" ht="18">
      <c r="A279" s="92"/>
      <c r="B279" s="92"/>
      <c r="C279" s="583"/>
      <c r="D279" s="582"/>
      <c r="E279" s="581"/>
      <c r="F279" s="581"/>
      <c r="G279" s="583"/>
      <c r="H279" s="584"/>
      <c r="I279" s="109"/>
      <c r="J279" s="109"/>
      <c r="K279" s="109"/>
      <c r="L279" s="109"/>
      <c r="M279" s="109"/>
      <c r="N279" s="109"/>
      <c r="O279" s="63"/>
      <c r="P279" s="63"/>
      <c r="Q279" s="63"/>
    </row>
    <row r="280" spans="1:61" ht="18">
      <c r="A280" s="92"/>
      <c r="B280" s="92"/>
      <c r="C280" s="582"/>
      <c r="D280" s="582"/>
      <c r="E280" s="581"/>
      <c r="F280" s="581"/>
      <c r="G280" s="583"/>
      <c r="H280" s="585"/>
      <c r="I280" s="63"/>
      <c r="J280" s="63"/>
      <c r="K280" s="63"/>
      <c r="L280" s="63"/>
      <c r="M280" s="63"/>
      <c r="N280" s="63"/>
      <c r="O280" s="63"/>
      <c r="P280" s="63"/>
      <c r="Q280" s="63"/>
    </row>
    <row r="281" spans="1:61" ht="18">
      <c r="A281" s="92"/>
      <c r="B281" s="92"/>
      <c r="C281" s="583"/>
      <c r="D281" s="582"/>
      <c r="E281" s="581"/>
      <c r="F281" s="581"/>
      <c r="G281" s="583"/>
      <c r="H281" s="586"/>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H264"/>
  <sheetViews>
    <sheetView workbookViewId="0">
      <selection activeCell="L17" sqref="L17"/>
    </sheetView>
  </sheetViews>
  <sheetFormatPr defaultColWidth="8.77734375" defaultRowHeight="15"/>
  <cols>
    <col min="1" max="1" width="7.21875" style="170" customWidth="1"/>
    <col min="2" max="2" width="57.77734375" style="170" customWidth="1"/>
    <col min="3" max="3" width="28.21875" style="170" customWidth="1"/>
    <col min="4" max="4" width="10.77734375" style="191" bestFit="1" customWidth="1"/>
    <col min="5" max="5" width="9.21875" style="170" bestFit="1" customWidth="1"/>
    <col min="6" max="16384" width="8.77734375" style="170"/>
  </cols>
  <sheetData>
    <row r="1" spans="1:7" ht="18">
      <c r="A1" s="1531" t="s">
        <v>486</v>
      </c>
      <c r="B1" s="1531"/>
      <c r="C1" s="1531"/>
      <c r="D1" s="1531"/>
    </row>
    <row r="2" spans="1:7" ht="18">
      <c r="A2" s="1531" t="str">
        <f>'Appendix III'!$E$8</f>
        <v>MidAmerican Central California Transco, LLC</v>
      </c>
      <c r="B2" s="1531"/>
      <c r="C2" s="1531"/>
      <c r="D2" s="1531"/>
    </row>
    <row r="3" spans="1:7">
      <c r="A3" s="199"/>
      <c r="B3" s="199"/>
      <c r="C3" s="199"/>
      <c r="D3" s="1156"/>
    </row>
    <row r="4" spans="1:7">
      <c r="A4" s="199"/>
      <c r="B4" s="199"/>
      <c r="C4" s="199"/>
      <c r="D4" s="1156"/>
    </row>
    <row r="5" spans="1:7" ht="15.75">
      <c r="A5" s="1153"/>
      <c r="B5" s="1154" t="s">
        <v>183</v>
      </c>
      <c r="C5" s="1155" t="s">
        <v>440</v>
      </c>
      <c r="D5" s="1156"/>
      <c r="E5" s="1164"/>
    </row>
    <row r="6" spans="1:7">
      <c r="A6" s="1153">
        <v>1</v>
      </c>
      <c r="B6" s="1157" t="s">
        <v>294</v>
      </c>
      <c r="C6" s="1155" t="s">
        <v>941</v>
      </c>
      <c r="D6" s="1162">
        <f>+C45</f>
        <v>0</v>
      </c>
      <c r="E6" s="1164"/>
    </row>
    <row r="7" spans="1:7">
      <c r="A7" s="1153"/>
      <c r="B7" s="199"/>
      <c r="C7" s="1157"/>
      <c r="D7" s="1159"/>
      <c r="E7" s="1163"/>
      <c r="G7" s="201"/>
    </row>
    <row r="8" spans="1:7" ht="15.75">
      <c r="A8" s="1153"/>
      <c r="B8" s="386" t="s">
        <v>319</v>
      </c>
      <c r="C8" s="1155" t="s">
        <v>440</v>
      </c>
      <c r="D8" s="1156"/>
      <c r="E8" s="1163"/>
      <c r="G8" s="200"/>
    </row>
    <row r="9" spans="1:7">
      <c r="A9" s="1160">
        <f>+A6+1</f>
        <v>2</v>
      </c>
      <c r="B9" s="1157" t="s">
        <v>295</v>
      </c>
      <c r="C9" s="1157"/>
      <c r="D9" s="1158">
        <v>0</v>
      </c>
      <c r="E9" s="1163"/>
      <c r="G9" s="200"/>
    </row>
    <row r="10" spans="1:7">
      <c r="A10" s="1160">
        <v>3</v>
      </c>
      <c r="B10" s="1157" t="s">
        <v>438</v>
      </c>
      <c r="C10" s="1157"/>
      <c r="D10" s="1158">
        <v>0</v>
      </c>
      <c r="E10" s="1163"/>
      <c r="G10" s="200"/>
    </row>
    <row r="11" spans="1:7">
      <c r="A11" s="1160">
        <v>4</v>
      </c>
      <c r="B11" s="1157" t="s">
        <v>182</v>
      </c>
      <c r="C11" s="1161"/>
      <c r="D11" s="1158">
        <v>0</v>
      </c>
      <c r="E11" s="1163"/>
      <c r="F11" s="171"/>
      <c r="G11" s="198"/>
    </row>
    <row r="12" spans="1:7">
      <c r="A12" s="1160">
        <f>+A11+1</f>
        <v>5</v>
      </c>
      <c r="B12" s="1157" t="s">
        <v>439</v>
      </c>
      <c r="C12" s="1153"/>
      <c r="D12" s="1158">
        <v>0</v>
      </c>
      <c r="E12" s="1163"/>
    </row>
    <row r="13" spans="1:7">
      <c r="A13" s="1160">
        <f>+A12+1</f>
        <v>6</v>
      </c>
      <c r="B13" s="1157" t="s">
        <v>838</v>
      </c>
      <c r="C13" s="1153"/>
      <c r="D13" s="1162">
        <f>+'10 Lease O&amp;M, Other Tax and 413'!D55</f>
        <v>0</v>
      </c>
      <c r="E13" s="1163"/>
    </row>
    <row r="14" spans="1:7">
      <c r="A14" s="1153"/>
      <c r="B14" s="1157"/>
      <c r="C14" s="1155"/>
      <c r="D14" s="821"/>
      <c r="E14" s="1163"/>
    </row>
    <row r="15" spans="1:7">
      <c r="A15" s="1153">
        <f>+A13+1</f>
        <v>7</v>
      </c>
      <c r="B15" s="1157" t="s">
        <v>181</v>
      </c>
      <c r="C15" s="1155" t="str">
        <f>"Sum lines "&amp;A9&amp;"-"&amp;A13&amp;" + line "&amp;A6&amp;""</f>
        <v>Sum lines 2-6 + line 1</v>
      </c>
      <c r="D15" s="1162">
        <f>SUM(D9:D14)+D6</f>
        <v>0</v>
      </c>
      <c r="E15" s="1163"/>
    </row>
    <row r="16" spans="1:7">
      <c r="A16" s="1153"/>
      <c r="B16" s="1155"/>
      <c r="C16" s="1153"/>
      <c r="D16" s="1162"/>
      <c r="E16" s="1163"/>
    </row>
    <row r="17" spans="1:8">
      <c r="A17" s="188"/>
      <c r="C17" s="199"/>
      <c r="D17" s="1166"/>
      <c r="E17" s="1165"/>
    </row>
    <row r="18" spans="1:8" s="195" customFormat="1" ht="12.75">
      <c r="A18" s="171"/>
      <c r="B18" s="188"/>
      <c r="C18" s="188"/>
      <c r="D18" s="197"/>
      <c r="E18" s="196"/>
    </row>
    <row r="19" spans="1:8" ht="96.75" customHeight="1">
      <c r="A19" s="434" t="s">
        <v>180</v>
      </c>
      <c r="B19" s="1532" t="s">
        <v>504</v>
      </c>
      <c r="C19" s="1532"/>
      <c r="D19" s="1532"/>
      <c r="E19" s="1532"/>
      <c r="F19" s="1532"/>
    </row>
    <row r="20" spans="1:8" ht="38.25" customHeight="1">
      <c r="A20" s="434" t="s">
        <v>179</v>
      </c>
      <c r="B20" s="1532" t="s">
        <v>1003</v>
      </c>
      <c r="C20" s="1532"/>
      <c r="D20" s="1532"/>
      <c r="E20" s="1532"/>
      <c r="F20" s="1532"/>
    </row>
    <row r="21" spans="1:8" ht="15.75">
      <c r="A21" s="434" t="s">
        <v>441</v>
      </c>
      <c r="B21" s="434" t="s">
        <v>178</v>
      </c>
      <c r="C21" s="434"/>
      <c r="D21" s="1186"/>
      <c r="E21" s="1187"/>
      <c r="F21" s="1187"/>
    </row>
    <row r="22" spans="1:8" ht="12.75">
      <c r="A22" s="450"/>
      <c r="B22" s="450"/>
      <c r="C22" s="450"/>
      <c r="D22" s="450"/>
      <c r="E22" s="450"/>
      <c r="F22" s="450"/>
      <c r="G22" s="450"/>
      <c r="H22" s="450"/>
    </row>
    <row r="23" spans="1:8">
      <c r="A23" s="1167" t="s">
        <v>304</v>
      </c>
      <c r="B23" s="1168"/>
      <c r="C23" s="1168"/>
      <c r="D23" s="1168"/>
      <c r="E23" s="1168"/>
      <c r="F23" s="1169"/>
      <c r="G23" s="452"/>
      <c r="H23" s="452"/>
    </row>
    <row r="24" spans="1:8">
      <c r="A24" s="1170">
        <v>1</v>
      </c>
      <c r="B24" s="1153" t="s">
        <v>1</v>
      </c>
      <c r="C24" s="1171" t="s">
        <v>305</v>
      </c>
      <c r="D24" s="1171" t="s">
        <v>479</v>
      </c>
      <c r="E24" s="1171" t="s">
        <v>311</v>
      </c>
      <c r="F24" s="1171" t="s">
        <v>312</v>
      </c>
    </row>
    <row r="25" spans="1:8">
      <c r="A25" s="1170" t="s">
        <v>313</v>
      </c>
      <c r="B25" s="1172" t="s">
        <v>306</v>
      </c>
      <c r="C25" s="1173">
        <f>SUM(D25:F25)</f>
        <v>0</v>
      </c>
      <c r="D25" s="1174">
        <v>0</v>
      </c>
      <c r="E25" s="1174">
        <v>0</v>
      </c>
      <c r="F25" s="1174">
        <v>0</v>
      </c>
    </row>
    <row r="26" spans="1:8">
      <c r="A26" s="1170" t="s">
        <v>316</v>
      </c>
      <c r="B26" s="1172" t="s">
        <v>307</v>
      </c>
      <c r="C26" s="1173">
        <f>SUM(D26:F26)</f>
        <v>0</v>
      </c>
      <c r="D26" s="1174">
        <v>0</v>
      </c>
      <c r="E26" s="1174">
        <v>0</v>
      </c>
      <c r="F26" s="1174">
        <v>0</v>
      </c>
    </row>
    <row r="27" spans="1:8">
      <c r="A27" s="1170">
        <v>2</v>
      </c>
      <c r="B27" s="1172" t="s">
        <v>308</v>
      </c>
      <c r="C27" s="1175">
        <f>SUM(D27:F27)</f>
        <v>0</v>
      </c>
      <c r="D27" s="1174">
        <v>0</v>
      </c>
      <c r="E27" s="1174">
        <v>0</v>
      </c>
      <c r="F27" s="1174">
        <v>0</v>
      </c>
    </row>
    <row r="28" spans="1:8">
      <c r="A28" s="1170">
        <v>3</v>
      </c>
      <c r="B28" s="1172" t="s">
        <v>21</v>
      </c>
      <c r="C28" s="1176">
        <f>SUM(C25:C27)</f>
        <v>0</v>
      </c>
      <c r="D28" s="1176">
        <f>SUM(D25:D27)</f>
        <v>0</v>
      </c>
      <c r="E28" s="1176">
        <f>SUM(E25:E27)</f>
        <v>0</v>
      </c>
      <c r="F28" s="1176">
        <f>SUM(F25:F27)</f>
        <v>0</v>
      </c>
    </row>
    <row r="29" spans="1:8">
      <c r="A29" s="1170">
        <v>4</v>
      </c>
      <c r="B29" s="1172" t="s">
        <v>309</v>
      </c>
      <c r="C29" s="1172"/>
      <c r="D29" s="1172"/>
      <c r="E29" s="1172"/>
      <c r="F29" s="1172"/>
    </row>
    <row r="30" spans="1:8">
      <c r="A30" s="1170">
        <v>5</v>
      </c>
      <c r="B30" s="1172" t="s">
        <v>315</v>
      </c>
      <c r="C30" s="1177">
        <f>SUM(D30:F30)</f>
        <v>0</v>
      </c>
      <c r="D30" s="1178">
        <v>0</v>
      </c>
      <c r="E30" s="1178">
        <v>0</v>
      </c>
      <c r="F30" s="1178">
        <v>0</v>
      </c>
    </row>
    <row r="31" spans="1:8">
      <c r="A31" s="1170">
        <v>6</v>
      </c>
      <c r="B31" s="1172" t="s">
        <v>487</v>
      </c>
      <c r="C31" s="1179">
        <f>SUM(D31:F31)</f>
        <v>0</v>
      </c>
      <c r="D31" s="1178">
        <v>0</v>
      </c>
      <c r="E31" s="1178">
        <v>0</v>
      </c>
      <c r="F31" s="1178">
        <v>0</v>
      </c>
    </row>
    <row r="32" spans="1:8" ht="15.75">
      <c r="A32" s="1170">
        <v>7</v>
      </c>
      <c r="B32" s="1180" t="s">
        <v>310</v>
      </c>
      <c r="C32" s="1179">
        <f>+C28-C30-C31</f>
        <v>0</v>
      </c>
      <c r="D32" s="1179">
        <f>+D28-D30-D31</f>
        <v>0</v>
      </c>
      <c r="E32" s="1179">
        <f>+E28-E30-E31</f>
        <v>0</v>
      </c>
      <c r="F32" s="1179">
        <f>+F28-F30-F31</f>
        <v>0</v>
      </c>
    </row>
    <row r="33" spans="1:8">
      <c r="A33" s="1170">
        <v>8</v>
      </c>
      <c r="B33" s="1172" t="s">
        <v>314</v>
      </c>
      <c r="C33" s="1178">
        <v>0</v>
      </c>
      <c r="D33" s="1178">
        <v>0</v>
      </c>
      <c r="E33" s="1178">
        <v>0</v>
      </c>
      <c r="F33" s="1178">
        <v>0</v>
      </c>
    </row>
    <row r="34" spans="1:8">
      <c r="A34" s="1181">
        <v>9</v>
      </c>
      <c r="B34" s="1155" t="str">
        <f>+B45</f>
        <v>Total</v>
      </c>
      <c r="C34" s="1182">
        <f>SUM(C32:C33)</f>
        <v>0</v>
      </c>
      <c r="D34" s="1156"/>
      <c r="E34" s="1155"/>
      <c r="F34" s="1155"/>
      <c r="G34" s="199"/>
      <c r="H34" s="199"/>
    </row>
    <row r="35" spans="1:8">
      <c r="A35" s="1181"/>
      <c r="B35" s="1155"/>
      <c r="C35" s="1155"/>
      <c r="D35" s="1156"/>
      <c r="E35" s="1155"/>
      <c r="F35" s="1155"/>
      <c r="G35" s="199"/>
      <c r="H35" s="199"/>
    </row>
    <row r="36" spans="1:8">
      <c r="A36" s="1183">
        <v>10</v>
      </c>
      <c r="B36" s="1153" t="s">
        <v>177</v>
      </c>
      <c r="C36" s="1184" t="s">
        <v>62</v>
      </c>
      <c r="D36" s="1155"/>
      <c r="E36" s="1155"/>
      <c r="F36" s="1155"/>
      <c r="G36" s="199"/>
      <c r="H36" s="199"/>
    </row>
    <row r="37" spans="1:8">
      <c r="A37" s="1183" t="s">
        <v>514</v>
      </c>
      <c r="B37" s="1153" t="s">
        <v>176</v>
      </c>
      <c r="C37" s="1158">
        <v>0</v>
      </c>
      <c r="D37" s="1155"/>
      <c r="E37" s="1155"/>
      <c r="F37" s="1155"/>
      <c r="G37" s="199"/>
      <c r="H37" s="199"/>
    </row>
    <row r="38" spans="1:8">
      <c r="A38" s="1183" t="s">
        <v>515</v>
      </c>
      <c r="B38" s="1153" t="s">
        <v>184</v>
      </c>
      <c r="C38" s="1158">
        <v>0</v>
      </c>
      <c r="D38" s="1155"/>
      <c r="E38" s="1155"/>
      <c r="F38" s="1155"/>
      <c r="G38" s="199"/>
      <c r="H38" s="199"/>
    </row>
    <row r="39" spans="1:8">
      <c r="A39" s="1183" t="s">
        <v>516</v>
      </c>
      <c r="B39" s="1153" t="s">
        <v>175</v>
      </c>
      <c r="C39" s="1158">
        <v>0</v>
      </c>
      <c r="D39" s="1155"/>
      <c r="E39" s="1155"/>
      <c r="F39" s="1155"/>
      <c r="G39" s="199"/>
      <c r="H39" s="199"/>
    </row>
    <row r="40" spans="1:8">
      <c r="A40" s="1183" t="s">
        <v>517</v>
      </c>
      <c r="B40" s="1153" t="s">
        <v>174</v>
      </c>
      <c r="C40" s="1158">
        <v>0</v>
      </c>
      <c r="D40" s="1155"/>
      <c r="E40" s="1155"/>
      <c r="F40" s="1155"/>
      <c r="G40" s="199"/>
      <c r="H40" s="199"/>
    </row>
    <row r="41" spans="1:8">
      <c r="A41" s="1183" t="s">
        <v>518</v>
      </c>
      <c r="B41" s="1153" t="s">
        <v>173</v>
      </c>
      <c r="C41" s="1158">
        <v>0</v>
      </c>
      <c r="D41" s="1155"/>
      <c r="E41" s="1155"/>
      <c r="F41" s="1155"/>
      <c r="G41" s="199"/>
      <c r="H41" s="199"/>
    </row>
    <row r="42" spans="1:8">
      <c r="A42" s="1183" t="s">
        <v>519</v>
      </c>
      <c r="B42" s="1153" t="s">
        <v>172</v>
      </c>
      <c r="C42" s="1158">
        <v>0</v>
      </c>
      <c r="D42" s="1155"/>
      <c r="E42" s="1155"/>
      <c r="F42" s="1155"/>
      <c r="G42" s="199"/>
      <c r="H42" s="199"/>
    </row>
    <row r="43" spans="1:8">
      <c r="A43" s="1183" t="s">
        <v>520</v>
      </c>
      <c r="B43" s="1153" t="s">
        <v>171</v>
      </c>
      <c r="C43" s="1158">
        <v>0</v>
      </c>
      <c r="D43" s="1155"/>
      <c r="E43" s="1155"/>
      <c r="F43" s="1155"/>
      <c r="G43" s="199"/>
      <c r="H43" s="199"/>
    </row>
    <row r="44" spans="1:8">
      <c r="A44" s="1183" t="s">
        <v>521</v>
      </c>
      <c r="B44" s="1153" t="s">
        <v>170</v>
      </c>
      <c r="C44" s="1158">
        <v>0</v>
      </c>
      <c r="D44" s="1155"/>
      <c r="E44" s="1155"/>
      <c r="F44" s="1155"/>
      <c r="G44" s="199"/>
      <c r="H44" s="199"/>
    </row>
    <row r="45" spans="1:8">
      <c r="A45" s="1183">
        <v>11</v>
      </c>
      <c r="B45" s="1153" t="s">
        <v>21</v>
      </c>
      <c r="C45" s="1185">
        <f>SUM(C37:C44)</f>
        <v>0</v>
      </c>
      <c r="D45" s="1155"/>
      <c r="E45" s="1155"/>
      <c r="F45" s="1155"/>
      <c r="G45" s="199"/>
      <c r="H45" s="199"/>
    </row>
    <row r="46" spans="1:8" ht="12.75">
      <c r="A46" s="199"/>
      <c r="B46" s="199"/>
      <c r="C46" s="199"/>
      <c r="D46" s="451"/>
      <c r="E46" s="199"/>
      <c r="F46" s="199"/>
      <c r="G46" s="199"/>
      <c r="H46" s="199"/>
    </row>
    <row r="47" spans="1:8" ht="99" customHeight="1">
      <c r="A47" s="435"/>
      <c r="B47" s="1530"/>
      <c r="C47" s="1530"/>
      <c r="D47" s="1530"/>
      <c r="E47" s="1530"/>
      <c r="F47" s="1530"/>
    </row>
    <row r="122" spans="4:4">
      <c r="D122" s="194"/>
    </row>
    <row r="228" spans="8:8">
      <c r="H228" s="861">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10"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N162"/>
  <sheetViews>
    <sheetView topLeftCell="A16" workbookViewId="0">
      <selection activeCell="I18" sqref="I18:I19"/>
    </sheetView>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3.77734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13" ht="22.5" customHeight="1">
      <c r="A1" s="1538" t="s">
        <v>391</v>
      </c>
      <c r="B1" s="1538"/>
      <c r="C1" s="1538"/>
      <c r="D1" s="1538"/>
      <c r="E1" s="1538"/>
      <c r="F1" s="1538"/>
      <c r="G1" s="741"/>
      <c r="H1" s="741"/>
      <c r="I1" s="741"/>
      <c r="J1" s="741"/>
      <c r="K1" s="741"/>
      <c r="L1" s="741"/>
      <c r="M1" s="741"/>
    </row>
    <row r="2" spans="1:13" ht="18">
      <c r="A2" s="1538" t="str">
        <f>'Appendix III'!$E$8</f>
        <v>MidAmerican Central California Transco, LLC</v>
      </c>
      <c r="B2" s="1538"/>
      <c r="C2" s="1538"/>
      <c r="D2" s="1538"/>
      <c r="E2" s="1538"/>
      <c r="F2" s="1538"/>
      <c r="G2" s="741"/>
      <c r="H2" s="741"/>
      <c r="I2" s="741"/>
      <c r="J2" s="741"/>
      <c r="K2" s="741"/>
      <c r="L2" s="741"/>
      <c r="M2" s="741"/>
    </row>
    <row r="4" spans="1:13" ht="13.5" thickBot="1">
      <c r="A4" s="220" t="s">
        <v>169</v>
      </c>
    </row>
    <row r="5" spans="1:13">
      <c r="A5" s="1535" t="s">
        <v>296</v>
      </c>
      <c r="B5" s="1536"/>
      <c r="C5" s="1536"/>
      <c r="D5" s="1536"/>
      <c r="E5" s="1536"/>
      <c r="F5" s="1537"/>
      <c r="G5" s="734"/>
      <c r="H5" s="734"/>
      <c r="I5" s="734"/>
      <c r="J5" s="1533"/>
      <c r="K5" s="1534"/>
      <c r="L5" s="1534"/>
      <c r="M5" s="1534"/>
    </row>
    <row r="6" spans="1:13">
      <c r="A6" s="209">
        <v>1</v>
      </c>
      <c r="B6" s="211"/>
      <c r="C6" s="217" t="s">
        <v>168</v>
      </c>
      <c r="D6" s="213" t="s">
        <v>145</v>
      </c>
      <c r="E6" s="210" t="s">
        <v>135</v>
      </c>
      <c r="F6" s="337" t="s">
        <v>130</v>
      </c>
      <c r="G6" s="735"/>
      <c r="H6" s="213"/>
      <c r="I6" s="213"/>
      <c r="J6" s="212"/>
      <c r="K6" s="212"/>
      <c r="L6" s="212"/>
      <c r="M6" s="212"/>
    </row>
    <row r="7" spans="1:13">
      <c r="A7" s="209">
        <f t="shared" ref="A7:A20" si="0">+A6+1</f>
        <v>2</v>
      </c>
      <c r="B7" s="208"/>
      <c r="C7" s="208" t="s">
        <v>146</v>
      </c>
      <c r="D7" s="253" t="s">
        <v>510</v>
      </c>
      <c r="E7" s="1483">
        <v>2020</v>
      </c>
      <c r="F7" s="189">
        <v>0</v>
      </c>
      <c r="G7" s="736"/>
      <c r="H7" s="210"/>
      <c r="I7" s="214"/>
      <c r="J7" s="212"/>
      <c r="K7" s="212"/>
      <c r="L7" s="212"/>
      <c r="M7" s="212"/>
    </row>
    <row r="8" spans="1:13">
      <c r="A8" s="209">
        <f t="shared" si="0"/>
        <v>3</v>
      </c>
      <c r="B8" s="211"/>
      <c r="C8" s="225" t="s">
        <v>156</v>
      </c>
      <c r="D8" s="213" t="s">
        <v>147</v>
      </c>
      <c r="E8" s="1483">
        <v>2021</v>
      </c>
      <c r="F8" s="189">
        <v>0</v>
      </c>
      <c r="G8" s="737"/>
      <c r="H8" s="213"/>
      <c r="I8" s="213"/>
      <c r="J8" s="212"/>
      <c r="K8" s="212"/>
      <c r="L8" s="212"/>
      <c r="M8" s="212"/>
    </row>
    <row r="9" spans="1:13">
      <c r="A9" s="209">
        <f t="shared" si="0"/>
        <v>4</v>
      </c>
      <c r="B9" s="323"/>
      <c r="C9" s="226" t="s">
        <v>155</v>
      </c>
      <c r="D9" s="213" t="s">
        <v>147</v>
      </c>
      <c r="E9" s="1483">
        <f>+$E$8</f>
        <v>2021</v>
      </c>
      <c r="F9" s="189">
        <v>0</v>
      </c>
      <c r="G9" s="736"/>
      <c r="H9" s="210"/>
      <c r="I9" s="210"/>
      <c r="J9" s="212"/>
      <c r="K9" s="212"/>
      <c r="L9" s="212"/>
      <c r="M9" s="212"/>
    </row>
    <row r="10" spans="1:13">
      <c r="A10" s="209">
        <f t="shared" si="0"/>
        <v>5</v>
      </c>
      <c r="B10" s="323"/>
      <c r="C10" s="226" t="s">
        <v>154</v>
      </c>
      <c r="D10" s="213" t="s">
        <v>147</v>
      </c>
      <c r="E10" s="1483">
        <f t="shared" ref="E10:E19" si="1">+$E$8</f>
        <v>2021</v>
      </c>
      <c r="F10" s="189">
        <v>0</v>
      </c>
      <c r="G10" s="736"/>
      <c r="H10" s="210"/>
      <c r="I10" s="210"/>
      <c r="J10" s="212"/>
      <c r="K10" s="212"/>
      <c r="L10" s="212"/>
      <c r="M10" s="212"/>
    </row>
    <row r="11" spans="1:13">
      <c r="A11" s="209">
        <f t="shared" si="0"/>
        <v>6</v>
      </c>
      <c r="B11" s="213"/>
      <c r="C11" s="225" t="s">
        <v>134</v>
      </c>
      <c r="D11" s="213" t="s">
        <v>147</v>
      </c>
      <c r="E11" s="1483">
        <f t="shared" si="1"/>
        <v>2021</v>
      </c>
      <c r="F11" s="189">
        <v>0</v>
      </c>
      <c r="G11" s="736"/>
      <c r="H11" s="210"/>
      <c r="I11" s="210"/>
      <c r="J11" s="212"/>
      <c r="K11" s="212"/>
      <c r="L11" s="212"/>
      <c r="M11" s="212"/>
    </row>
    <row r="12" spans="1:13">
      <c r="A12" s="209">
        <f t="shared" si="0"/>
        <v>7</v>
      </c>
      <c r="B12" s="211"/>
      <c r="C12" s="226" t="s">
        <v>131</v>
      </c>
      <c r="D12" s="213" t="s">
        <v>147</v>
      </c>
      <c r="E12" s="1483">
        <f t="shared" si="1"/>
        <v>2021</v>
      </c>
      <c r="F12" s="189">
        <v>0</v>
      </c>
      <c r="G12" s="232"/>
      <c r="H12" s="213"/>
      <c r="I12" s="213"/>
      <c r="J12" s="213"/>
      <c r="K12" s="213"/>
      <c r="L12" s="213"/>
      <c r="M12" s="213"/>
    </row>
    <row r="13" spans="1:13">
      <c r="A13" s="209">
        <f t="shared" si="0"/>
        <v>8</v>
      </c>
      <c r="B13" s="213"/>
      <c r="C13" s="226" t="s">
        <v>153</v>
      </c>
      <c r="D13" s="213" t="s">
        <v>147</v>
      </c>
      <c r="E13" s="1483">
        <f t="shared" si="1"/>
        <v>2021</v>
      </c>
      <c r="F13" s="189">
        <v>0</v>
      </c>
      <c r="G13" s="736"/>
      <c r="H13" s="210"/>
      <c r="I13" s="214"/>
      <c r="J13" s="212"/>
      <c r="K13" s="212"/>
      <c r="L13" s="212"/>
      <c r="M13" s="212"/>
    </row>
    <row r="14" spans="1:13">
      <c r="A14" s="209">
        <f t="shared" si="0"/>
        <v>9</v>
      </c>
      <c r="B14" s="211"/>
      <c r="C14" s="225" t="s">
        <v>152</v>
      </c>
      <c r="D14" s="213" t="s">
        <v>147</v>
      </c>
      <c r="E14" s="1483">
        <f t="shared" si="1"/>
        <v>2021</v>
      </c>
      <c r="F14" s="189">
        <v>0</v>
      </c>
      <c r="G14" s="737"/>
      <c r="H14" s="213"/>
      <c r="I14" s="213"/>
      <c r="J14" s="212"/>
      <c r="K14" s="212"/>
      <c r="L14" s="212"/>
      <c r="M14" s="212"/>
    </row>
    <row r="15" spans="1:13">
      <c r="A15" s="209">
        <f t="shared" si="0"/>
        <v>10</v>
      </c>
      <c r="B15" s="323"/>
      <c r="C15" s="226" t="s">
        <v>151</v>
      </c>
      <c r="D15" s="213" t="s">
        <v>147</v>
      </c>
      <c r="E15" s="1483">
        <f t="shared" si="1"/>
        <v>2021</v>
      </c>
      <c r="F15" s="189">
        <v>0</v>
      </c>
      <c r="G15" s="736"/>
      <c r="H15" s="210"/>
      <c r="I15" s="210"/>
      <c r="J15" s="212"/>
      <c r="K15" s="212"/>
      <c r="L15" s="212"/>
      <c r="M15" s="212"/>
    </row>
    <row r="16" spans="1:13">
      <c r="A16" s="209">
        <f t="shared" si="0"/>
        <v>11</v>
      </c>
      <c r="B16" s="323"/>
      <c r="C16" s="226" t="s">
        <v>150</v>
      </c>
      <c r="D16" s="213" t="s">
        <v>147</v>
      </c>
      <c r="E16" s="1483">
        <f t="shared" si="1"/>
        <v>2021</v>
      </c>
      <c r="F16" s="189">
        <v>0</v>
      </c>
      <c r="G16" s="736"/>
      <c r="H16" s="210"/>
      <c r="I16" s="210"/>
      <c r="J16" s="212"/>
      <c r="K16" s="212"/>
      <c r="L16" s="212"/>
      <c r="M16" s="212"/>
    </row>
    <row r="17" spans="1:13">
      <c r="A17" s="209">
        <f t="shared" si="0"/>
        <v>12</v>
      </c>
      <c r="B17" s="213"/>
      <c r="C17" s="225" t="s">
        <v>149</v>
      </c>
      <c r="D17" s="213" t="s">
        <v>147</v>
      </c>
      <c r="E17" s="1483">
        <f t="shared" si="1"/>
        <v>2021</v>
      </c>
      <c r="F17" s="189">
        <v>0</v>
      </c>
      <c r="G17" s="736"/>
      <c r="H17" s="210"/>
      <c r="I17" s="210"/>
      <c r="J17" s="212"/>
      <c r="K17" s="212"/>
      <c r="L17" s="212"/>
      <c r="M17" s="212"/>
    </row>
    <row r="18" spans="1:13">
      <c r="A18" s="209">
        <f t="shared" si="0"/>
        <v>13</v>
      </c>
      <c r="B18" s="213"/>
      <c r="C18" s="225" t="s">
        <v>148</v>
      </c>
      <c r="D18" s="213" t="s">
        <v>147</v>
      </c>
      <c r="E18" s="1483">
        <f t="shared" si="1"/>
        <v>2021</v>
      </c>
      <c r="F18" s="189">
        <v>0</v>
      </c>
      <c r="G18" s="736"/>
      <c r="H18" s="210"/>
      <c r="I18" s="210"/>
      <c r="J18" s="212"/>
      <c r="K18" s="212"/>
      <c r="L18" s="212"/>
      <c r="M18" s="212"/>
    </row>
    <row r="19" spans="1:13">
      <c r="A19" s="209">
        <f t="shared" si="0"/>
        <v>14</v>
      </c>
      <c r="B19" s="211"/>
      <c r="C19" s="223" t="s">
        <v>146</v>
      </c>
      <c r="D19" s="716" t="s">
        <v>511</v>
      </c>
      <c r="E19" s="1484">
        <f t="shared" si="1"/>
        <v>2021</v>
      </c>
      <c r="F19" s="190">
        <v>0</v>
      </c>
      <c r="G19" s="738"/>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39"/>
      <c r="H20" s="213"/>
      <c r="I20" s="213"/>
      <c r="J20" s="212"/>
      <c r="K20" s="212"/>
      <c r="L20" s="212"/>
      <c r="M20" s="212"/>
    </row>
    <row r="21" spans="1:13">
      <c r="A21" s="209"/>
      <c r="B21" s="323"/>
      <c r="C21" s="226"/>
      <c r="D21" s="213"/>
      <c r="E21" s="598"/>
      <c r="F21" s="333"/>
      <c r="G21" s="736"/>
      <c r="H21" s="210"/>
      <c r="I21" s="210"/>
      <c r="J21" s="212"/>
      <c r="K21" s="212"/>
      <c r="L21" s="212"/>
      <c r="M21" s="212"/>
    </row>
    <row r="22" spans="1:13">
      <c r="A22" s="209">
        <f>+A20+1</f>
        <v>16</v>
      </c>
      <c r="B22" s="211"/>
      <c r="C22" s="217" t="s">
        <v>167</v>
      </c>
      <c r="D22" s="213" t="s">
        <v>145</v>
      </c>
      <c r="E22" s="599"/>
      <c r="F22" s="325"/>
      <c r="G22" s="232"/>
      <c r="H22" s="213"/>
      <c r="I22" s="213"/>
      <c r="J22" s="212"/>
      <c r="K22" s="212"/>
      <c r="L22" s="212"/>
      <c r="M22" s="212"/>
    </row>
    <row r="23" spans="1:13">
      <c r="A23" s="209">
        <f>+A22+1</f>
        <v>17</v>
      </c>
      <c r="B23" s="208"/>
      <c r="C23" s="208" t="s">
        <v>146</v>
      </c>
      <c r="D23" s="253" t="s">
        <v>275</v>
      </c>
      <c r="E23" s="1483">
        <f>+$E$7</f>
        <v>2020</v>
      </c>
      <c r="F23" s="189">
        <v>0</v>
      </c>
      <c r="G23" s="736"/>
      <c r="H23" s="208"/>
      <c r="I23" s="208"/>
      <c r="J23" s="212"/>
      <c r="K23" s="212"/>
      <c r="L23" s="212"/>
      <c r="M23" s="212"/>
    </row>
    <row r="24" spans="1:13">
      <c r="A24" s="209">
        <f t="shared" ref="A24:A35" si="2">+A23+1</f>
        <v>18</v>
      </c>
      <c r="B24" s="208"/>
      <c r="C24" s="225" t="s">
        <v>156</v>
      </c>
      <c r="D24" s="213" t="s">
        <v>147</v>
      </c>
      <c r="E24" s="1483">
        <f>+$E$8</f>
        <v>2021</v>
      </c>
      <c r="F24" s="189">
        <v>0</v>
      </c>
      <c r="G24" s="736"/>
      <c r="H24" s="208"/>
      <c r="I24" s="208"/>
      <c r="J24" s="212"/>
      <c r="K24" s="212"/>
      <c r="L24" s="212"/>
      <c r="M24" s="212"/>
    </row>
    <row r="25" spans="1:13">
      <c r="A25" s="209">
        <f t="shared" si="2"/>
        <v>19</v>
      </c>
      <c r="B25" s="208"/>
      <c r="C25" s="226" t="s">
        <v>155</v>
      </c>
      <c r="D25" s="213" t="s">
        <v>147</v>
      </c>
      <c r="E25" s="1483">
        <f t="shared" ref="E25:E35" si="3">+$E$8</f>
        <v>2021</v>
      </c>
      <c r="F25" s="189">
        <v>0</v>
      </c>
      <c r="G25" s="736"/>
      <c r="H25" s="208"/>
      <c r="I25" s="208"/>
      <c r="J25" s="212"/>
      <c r="K25" s="212"/>
      <c r="L25" s="212"/>
      <c r="M25" s="212"/>
    </row>
    <row r="26" spans="1:13">
      <c r="A26" s="209">
        <f t="shared" si="2"/>
        <v>20</v>
      </c>
      <c r="B26" s="208"/>
      <c r="C26" s="226" t="s">
        <v>154</v>
      </c>
      <c r="D26" s="213" t="s">
        <v>147</v>
      </c>
      <c r="E26" s="1483">
        <f t="shared" si="3"/>
        <v>2021</v>
      </c>
      <c r="F26" s="189">
        <v>0</v>
      </c>
      <c r="G26" s="736"/>
      <c r="H26" s="208"/>
      <c r="I26" s="208"/>
      <c r="J26" s="212"/>
      <c r="K26" s="212"/>
      <c r="L26" s="212"/>
      <c r="M26" s="212"/>
    </row>
    <row r="27" spans="1:13">
      <c r="A27" s="209">
        <f t="shared" si="2"/>
        <v>21</v>
      </c>
      <c r="B27" s="208"/>
      <c r="C27" s="225" t="s">
        <v>134</v>
      </c>
      <c r="D27" s="213" t="s">
        <v>147</v>
      </c>
      <c r="E27" s="1483">
        <f t="shared" si="3"/>
        <v>2021</v>
      </c>
      <c r="F27" s="189">
        <v>0</v>
      </c>
      <c r="G27" s="736"/>
      <c r="H27" s="208"/>
      <c r="I27" s="208"/>
      <c r="J27" s="212"/>
      <c r="K27" s="212"/>
      <c r="L27" s="212"/>
      <c r="M27" s="212"/>
    </row>
    <row r="28" spans="1:13">
      <c r="A28" s="209">
        <f t="shared" si="2"/>
        <v>22</v>
      </c>
      <c r="B28" s="208"/>
      <c r="C28" s="226" t="s">
        <v>131</v>
      </c>
      <c r="D28" s="213" t="s">
        <v>147</v>
      </c>
      <c r="E28" s="1483">
        <f t="shared" si="3"/>
        <v>2021</v>
      </c>
      <c r="F28" s="189">
        <v>0</v>
      </c>
      <c r="G28" s="736"/>
      <c r="H28" s="208"/>
      <c r="I28" s="208"/>
      <c r="J28" s="212"/>
      <c r="K28" s="212"/>
      <c r="L28" s="212"/>
      <c r="M28" s="212"/>
    </row>
    <row r="29" spans="1:13">
      <c r="A29" s="209">
        <f t="shared" si="2"/>
        <v>23</v>
      </c>
      <c r="B29" s="208"/>
      <c r="C29" s="226" t="s">
        <v>153</v>
      </c>
      <c r="D29" s="213" t="s">
        <v>147</v>
      </c>
      <c r="E29" s="1483">
        <f t="shared" si="3"/>
        <v>2021</v>
      </c>
      <c r="F29" s="189">
        <v>0</v>
      </c>
      <c r="G29" s="736"/>
      <c r="H29" s="208"/>
      <c r="I29" s="208"/>
      <c r="J29" s="212"/>
      <c r="K29" s="212"/>
      <c r="L29" s="212"/>
      <c r="M29" s="212"/>
    </row>
    <row r="30" spans="1:13">
      <c r="A30" s="209">
        <f t="shared" si="2"/>
        <v>24</v>
      </c>
      <c r="B30" s="208"/>
      <c r="C30" s="225" t="s">
        <v>152</v>
      </c>
      <c r="D30" s="213" t="s">
        <v>147</v>
      </c>
      <c r="E30" s="1483">
        <f t="shared" si="3"/>
        <v>2021</v>
      </c>
      <c r="F30" s="189">
        <v>0</v>
      </c>
      <c r="G30" s="736"/>
      <c r="H30" s="208"/>
      <c r="I30" s="208"/>
      <c r="J30" s="212"/>
      <c r="K30" s="212"/>
      <c r="L30" s="212"/>
      <c r="M30" s="212"/>
    </row>
    <row r="31" spans="1:13">
      <c r="A31" s="209">
        <f t="shared" si="2"/>
        <v>25</v>
      </c>
      <c r="B31" s="208"/>
      <c r="C31" s="226" t="s">
        <v>151</v>
      </c>
      <c r="D31" s="213" t="s">
        <v>147</v>
      </c>
      <c r="E31" s="1483">
        <f t="shared" si="3"/>
        <v>2021</v>
      </c>
      <c r="F31" s="189">
        <v>0</v>
      </c>
      <c r="G31" s="736"/>
      <c r="H31" s="208"/>
      <c r="I31" s="208"/>
      <c r="J31" s="212"/>
      <c r="K31" s="212"/>
      <c r="L31" s="212"/>
      <c r="M31" s="212"/>
    </row>
    <row r="32" spans="1:13">
      <c r="A32" s="209">
        <f t="shared" si="2"/>
        <v>26</v>
      </c>
      <c r="B32" s="208"/>
      <c r="C32" s="226" t="s">
        <v>150</v>
      </c>
      <c r="D32" s="213" t="s">
        <v>147</v>
      </c>
      <c r="E32" s="1483">
        <f t="shared" si="3"/>
        <v>2021</v>
      </c>
      <c r="F32" s="189">
        <v>0</v>
      </c>
      <c r="G32" s="736"/>
      <c r="H32" s="208"/>
      <c r="I32" s="208"/>
      <c r="J32" s="212"/>
      <c r="K32" s="212"/>
      <c r="L32" s="212"/>
      <c r="M32" s="212"/>
    </row>
    <row r="33" spans="1:13">
      <c r="A33" s="209">
        <f t="shared" si="2"/>
        <v>27</v>
      </c>
      <c r="B33" s="208"/>
      <c r="C33" s="225" t="s">
        <v>161</v>
      </c>
      <c r="D33" s="213" t="s">
        <v>147</v>
      </c>
      <c r="E33" s="1483">
        <f t="shared" si="3"/>
        <v>2021</v>
      </c>
      <c r="F33" s="189">
        <v>0</v>
      </c>
      <c r="G33" s="736"/>
      <c r="H33" s="208"/>
      <c r="I33" s="208"/>
      <c r="J33" s="212"/>
      <c r="K33" s="212"/>
      <c r="L33" s="212"/>
      <c r="M33" s="212"/>
    </row>
    <row r="34" spans="1:13">
      <c r="A34" s="209">
        <f t="shared" si="2"/>
        <v>28</v>
      </c>
      <c r="B34" s="208"/>
      <c r="C34" s="225" t="s">
        <v>148</v>
      </c>
      <c r="D34" s="213" t="s">
        <v>147</v>
      </c>
      <c r="E34" s="1483">
        <f t="shared" si="3"/>
        <v>2021</v>
      </c>
      <c r="F34" s="189">
        <v>0</v>
      </c>
      <c r="G34" s="736"/>
      <c r="H34" s="208"/>
      <c r="I34" s="208"/>
      <c r="J34" s="212"/>
      <c r="K34" s="212"/>
      <c r="L34" s="212"/>
      <c r="M34" s="212"/>
    </row>
    <row r="35" spans="1:13">
      <c r="A35" s="209">
        <f t="shared" si="2"/>
        <v>29</v>
      </c>
      <c r="B35" s="211"/>
      <c r="C35" s="223" t="s">
        <v>146</v>
      </c>
      <c r="D35" s="716" t="s">
        <v>276</v>
      </c>
      <c r="E35" s="1484">
        <f t="shared" si="3"/>
        <v>2021</v>
      </c>
      <c r="F35" s="190">
        <v>0</v>
      </c>
      <c r="G35" s="738"/>
      <c r="H35" s="210"/>
      <c r="I35" s="213"/>
      <c r="J35" s="213"/>
      <c r="K35" s="213"/>
      <c r="L35" s="213"/>
      <c r="M35" s="213"/>
    </row>
    <row r="36" spans="1:13">
      <c r="A36" s="209">
        <f>+A35+1</f>
        <v>30</v>
      </c>
      <c r="B36" s="213"/>
      <c r="C36" s="257" t="s">
        <v>166</v>
      </c>
      <c r="D36" s="213" t="str">
        <f>"(sum lines "&amp;A23&amp;" - "&amp;A35&amp;") /13"</f>
        <v>(sum lines 17 - 29) /13</v>
      </c>
      <c r="E36" s="598"/>
      <c r="F36" s="332">
        <f>SUM(F23:F35)/13</f>
        <v>0</v>
      </c>
      <c r="G36" s="739"/>
      <c r="H36" s="213"/>
      <c r="I36" s="330"/>
      <c r="J36" s="212"/>
      <c r="K36" s="212"/>
      <c r="L36" s="212"/>
      <c r="M36" s="212"/>
    </row>
    <row r="37" spans="1:13">
      <c r="A37" s="209"/>
      <c r="B37" s="213"/>
      <c r="C37" s="225"/>
      <c r="D37" s="213"/>
      <c r="E37" s="600"/>
      <c r="F37" s="336"/>
      <c r="G37" s="736"/>
      <c r="H37" s="210"/>
      <c r="I37" s="210"/>
      <c r="J37" s="212"/>
      <c r="K37" s="212"/>
      <c r="L37" s="212"/>
      <c r="M37" s="212"/>
    </row>
    <row r="38" spans="1:13">
      <c r="A38" s="209">
        <f>+A36+1</f>
        <v>31</v>
      </c>
      <c r="B38" s="211"/>
      <c r="C38" s="217" t="s">
        <v>165</v>
      </c>
      <c r="D38" s="213" t="s">
        <v>145</v>
      </c>
      <c r="E38" s="599"/>
      <c r="F38" s="325"/>
      <c r="G38" s="232"/>
      <c r="H38" s="213"/>
      <c r="I38" s="213"/>
      <c r="J38" s="212"/>
      <c r="K38" s="212"/>
      <c r="L38" s="212"/>
      <c r="M38" s="212"/>
    </row>
    <row r="39" spans="1:13">
      <c r="A39" s="209">
        <f>+A38+1</f>
        <v>32</v>
      </c>
      <c r="B39" s="208"/>
      <c r="C39" s="208" t="s">
        <v>146</v>
      </c>
      <c r="D39" s="253" t="s">
        <v>512</v>
      </c>
      <c r="E39" s="1483">
        <f>+$E$7</f>
        <v>2020</v>
      </c>
      <c r="F39" s="189">
        <v>0</v>
      </c>
      <c r="G39" s="736"/>
      <c r="H39" s="210"/>
      <c r="I39" s="214"/>
      <c r="J39" s="212"/>
      <c r="K39" s="212"/>
      <c r="L39" s="212"/>
      <c r="M39" s="212"/>
    </row>
    <row r="40" spans="1:13">
      <c r="A40" s="209">
        <f t="shared" ref="A40:A50" si="4">+A39+1</f>
        <v>33</v>
      </c>
      <c r="B40" s="208"/>
      <c r="C40" s="225" t="s">
        <v>156</v>
      </c>
      <c r="D40" s="213" t="s">
        <v>147</v>
      </c>
      <c r="E40" s="1483">
        <f>+$E$8</f>
        <v>2021</v>
      </c>
      <c r="F40" s="189">
        <v>0</v>
      </c>
      <c r="G40" s="736"/>
      <c r="H40" s="210"/>
      <c r="I40" s="214"/>
      <c r="J40" s="212"/>
      <c r="K40" s="212"/>
      <c r="L40" s="212"/>
      <c r="M40" s="212"/>
    </row>
    <row r="41" spans="1:13">
      <c r="A41" s="209">
        <f t="shared" si="4"/>
        <v>34</v>
      </c>
      <c r="B41" s="208"/>
      <c r="C41" s="226" t="s">
        <v>155</v>
      </c>
      <c r="D41" s="213" t="s">
        <v>147</v>
      </c>
      <c r="E41" s="1483">
        <f t="shared" ref="E41:E51" si="5">+$E$8</f>
        <v>2021</v>
      </c>
      <c r="F41" s="189">
        <v>0</v>
      </c>
      <c r="G41" s="736"/>
      <c r="H41" s="210"/>
      <c r="I41" s="214"/>
      <c r="J41" s="212"/>
      <c r="K41" s="212"/>
      <c r="L41" s="212"/>
      <c r="M41" s="212"/>
    </row>
    <row r="42" spans="1:13">
      <c r="A42" s="209">
        <f t="shared" si="4"/>
        <v>35</v>
      </c>
      <c r="B42" s="208"/>
      <c r="C42" s="226" t="s">
        <v>154</v>
      </c>
      <c r="D42" s="213" t="s">
        <v>147</v>
      </c>
      <c r="E42" s="1483">
        <f t="shared" si="5"/>
        <v>2021</v>
      </c>
      <c r="F42" s="189">
        <v>0</v>
      </c>
      <c r="G42" s="736"/>
      <c r="H42" s="210"/>
      <c r="I42" s="214"/>
      <c r="J42" s="212"/>
      <c r="K42" s="212"/>
      <c r="L42" s="212"/>
      <c r="M42" s="212"/>
    </row>
    <row r="43" spans="1:13">
      <c r="A43" s="209">
        <f t="shared" si="4"/>
        <v>36</v>
      </c>
      <c r="B43" s="208"/>
      <c r="C43" s="225" t="s">
        <v>134</v>
      </c>
      <c r="D43" s="213" t="s">
        <v>147</v>
      </c>
      <c r="E43" s="1483">
        <f t="shared" si="5"/>
        <v>2021</v>
      </c>
      <c r="F43" s="189">
        <v>0</v>
      </c>
      <c r="G43" s="736"/>
      <c r="H43" s="210"/>
      <c r="I43" s="214"/>
      <c r="J43" s="212"/>
      <c r="K43" s="212"/>
      <c r="L43" s="212"/>
      <c r="M43" s="212"/>
    </row>
    <row r="44" spans="1:13">
      <c r="A44" s="209">
        <f t="shared" si="4"/>
        <v>37</v>
      </c>
      <c r="B44" s="208"/>
      <c r="C44" s="226" t="s">
        <v>131</v>
      </c>
      <c r="D44" s="213" t="s">
        <v>147</v>
      </c>
      <c r="E44" s="1483">
        <f t="shared" si="5"/>
        <v>2021</v>
      </c>
      <c r="F44" s="189">
        <v>0</v>
      </c>
      <c r="G44" s="736"/>
      <c r="H44" s="210"/>
      <c r="I44" s="214"/>
      <c r="J44" s="212"/>
      <c r="K44" s="212"/>
      <c r="L44" s="212"/>
      <c r="M44" s="212"/>
    </row>
    <row r="45" spans="1:13">
      <c r="A45" s="209">
        <f t="shared" si="4"/>
        <v>38</v>
      </c>
      <c r="B45" s="208"/>
      <c r="C45" s="226" t="s">
        <v>153</v>
      </c>
      <c r="D45" s="213" t="s">
        <v>147</v>
      </c>
      <c r="E45" s="1483">
        <f t="shared" si="5"/>
        <v>2021</v>
      </c>
      <c r="F45" s="189">
        <v>0</v>
      </c>
      <c r="G45" s="736"/>
      <c r="H45" s="210"/>
      <c r="I45" s="214"/>
      <c r="J45" s="212"/>
      <c r="K45" s="212"/>
      <c r="L45" s="212"/>
      <c r="M45" s="212"/>
    </row>
    <row r="46" spans="1:13">
      <c r="A46" s="209">
        <f t="shared" si="4"/>
        <v>39</v>
      </c>
      <c r="B46" s="208"/>
      <c r="C46" s="225" t="s">
        <v>152</v>
      </c>
      <c r="D46" s="213" t="s">
        <v>147</v>
      </c>
      <c r="E46" s="1483">
        <f t="shared" si="5"/>
        <v>2021</v>
      </c>
      <c r="F46" s="189">
        <v>0</v>
      </c>
      <c r="G46" s="736"/>
      <c r="H46" s="210"/>
      <c r="I46" s="214"/>
      <c r="J46" s="212"/>
      <c r="K46" s="212"/>
      <c r="L46" s="212"/>
      <c r="M46" s="212"/>
    </row>
    <row r="47" spans="1:13">
      <c r="A47" s="209">
        <f t="shared" si="4"/>
        <v>40</v>
      </c>
      <c r="B47" s="208"/>
      <c r="C47" s="226" t="s">
        <v>151</v>
      </c>
      <c r="D47" s="213" t="s">
        <v>147</v>
      </c>
      <c r="E47" s="1483">
        <f t="shared" si="5"/>
        <v>2021</v>
      </c>
      <c r="F47" s="189">
        <v>0</v>
      </c>
      <c r="G47" s="736"/>
      <c r="H47" s="210"/>
      <c r="I47" s="214"/>
      <c r="J47" s="212"/>
      <c r="K47" s="212"/>
      <c r="L47" s="212"/>
      <c r="M47" s="212"/>
    </row>
    <row r="48" spans="1:13">
      <c r="A48" s="209">
        <f t="shared" si="4"/>
        <v>41</v>
      </c>
      <c r="B48" s="208"/>
      <c r="C48" s="226" t="s">
        <v>150</v>
      </c>
      <c r="D48" s="213" t="s">
        <v>147</v>
      </c>
      <c r="E48" s="1483">
        <f t="shared" si="5"/>
        <v>2021</v>
      </c>
      <c r="F48" s="189">
        <v>0</v>
      </c>
      <c r="G48" s="736"/>
      <c r="H48" s="210"/>
      <c r="I48" s="214"/>
      <c r="J48" s="212"/>
      <c r="K48" s="212"/>
      <c r="L48" s="212"/>
      <c r="M48" s="212"/>
    </row>
    <row r="49" spans="1:14">
      <c r="A49" s="209">
        <f t="shared" si="4"/>
        <v>42</v>
      </c>
      <c r="B49" s="208"/>
      <c r="C49" s="225" t="s">
        <v>161</v>
      </c>
      <c r="D49" s="213" t="s">
        <v>147</v>
      </c>
      <c r="E49" s="1483">
        <f t="shared" si="5"/>
        <v>2021</v>
      </c>
      <c r="F49" s="189">
        <v>0</v>
      </c>
      <c r="G49" s="736"/>
      <c r="H49" s="210"/>
      <c r="I49" s="214"/>
      <c r="J49" s="212"/>
      <c r="K49" s="212"/>
      <c r="L49" s="212"/>
      <c r="M49" s="212"/>
    </row>
    <row r="50" spans="1:14">
      <c r="A50" s="209">
        <f t="shared" si="4"/>
        <v>43</v>
      </c>
      <c r="B50" s="208"/>
      <c r="C50" s="225" t="s">
        <v>148</v>
      </c>
      <c r="D50" s="213" t="s">
        <v>147</v>
      </c>
      <c r="E50" s="1483">
        <f t="shared" si="5"/>
        <v>2021</v>
      </c>
      <c r="F50" s="189">
        <v>0</v>
      </c>
      <c r="G50" s="736"/>
      <c r="H50" s="210"/>
      <c r="I50" s="214"/>
      <c r="J50" s="212"/>
      <c r="K50" s="212"/>
      <c r="L50" s="212"/>
      <c r="M50" s="212"/>
    </row>
    <row r="51" spans="1:14">
      <c r="A51" s="209">
        <f>+A50+1</f>
        <v>44</v>
      </c>
      <c r="B51" s="211"/>
      <c r="C51" s="223" t="s">
        <v>146</v>
      </c>
      <c r="D51" s="716" t="s">
        <v>513</v>
      </c>
      <c r="E51" s="1484">
        <f t="shared" si="5"/>
        <v>2021</v>
      </c>
      <c r="F51" s="190">
        <v>0</v>
      </c>
      <c r="G51" s="738"/>
      <c r="H51" s="334"/>
      <c r="I51" s="213"/>
      <c r="J51" s="213"/>
      <c r="K51" s="213"/>
      <c r="L51" s="213"/>
      <c r="M51" s="213"/>
    </row>
    <row r="52" spans="1:14">
      <c r="A52" s="209">
        <f>+A51+1</f>
        <v>45</v>
      </c>
      <c r="B52" s="213"/>
      <c r="C52" s="257" t="s">
        <v>164</v>
      </c>
      <c r="D52" s="213" t="str">
        <f>"(sum lines "&amp;A39&amp;" - "&amp;A51&amp;") /13"</f>
        <v>(sum lines 32 - 44) /13</v>
      </c>
      <c r="E52" s="598"/>
      <c r="F52" s="332">
        <f>SUM(F39:F51)/13</f>
        <v>0</v>
      </c>
      <c r="G52" s="739"/>
      <c r="H52" s="213"/>
      <c r="I52" s="330"/>
      <c r="J52" s="212"/>
      <c r="K52" s="212"/>
      <c r="L52" s="212"/>
      <c r="M52" s="212"/>
    </row>
    <row r="53" spans="1:14">
      <c r="A53" s="209"/>
      <c r="B53" s="213"/>
      <c r="C53" s="226"/>
      <c r="D53" s="213"/>
      <c r="E53" s="269"/>
      <c r="F53" s="333"/>
      <c r="G53" s="736"/>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0" t="s">
        <v>163</v>
      </c>
      <c r="B57" s="208"/>
      <c r="C57" s="208"/>
      <c r="D57" s="208"/>
      <c r="E57" s="208"/>
      <c r="F57" s="207"/>
      <c r="G57" s="208"/>
      <c r="H57" s="208"/>
      <c r="I57" s="208"/>
      <c r="J57" s="208"/>
      <c r="K57" s="208"/>
      <c r="L57" s="208"/>
      <c r="M57" s="208"/>
    </row>
    <row r="58" spans="1:14">
      <c r="A58" s="1535" t="s">
        <v>296</v>
      </c>
      <c r="B58" s="1536"/>
      <c r="C58" s="1536"/>
      <c r="D58" s="1536"/>
      <c r="E58" s="1536"/>
      <c r="F58" s="1537"/>
      <c r="G58" s="734"/>
      <c r="H58" s="734"/>
      <c r="I58" s="734"/>
      <c r="J58" s="1533"/>
      <c r="K58" s="1534"/>
      <c r="L58" s="1534"/>
      <c r="M58" s="1534"/>
    </row>
    <row r="59" spans="1:14">
      <c r="A59" s="209">
        <f>+A54+1</f>
        <v>47</v>
      </c>
      <c r="B59" s="211"/>
      <c r="C59" s="217" t="s">
        <v>162</v>
      </c>
      <c r="D59" s="213" t="s">
        <v>145</v>
      </c>
      <c r="E59" s="210" t="s">
        <v>135</v>
      </c>
      <c r="F59" s="337" t="s">
        <v>130</v>
      </c>
      <c r="G59" s="735"/>
      <c r="H59" s="213"/>
      <c r="I59" s="213"/>
      <c r="J59" s="212"/>
      <c r="K59" s="212"/>
      <c r="L59" s="212"/>
      <c r="M59" s="212"/>
    </row>
    <row r="60" spans="1:14" ht="15">
      <c r="A60" s="209">
        <f t="shared" ref="A60:A73" si="6">+A59+1</f>
        <v>48</v>
      </c>
      <c r="B60" s="208"/>
      <c r="C60" s="208" t="s">
        <v>146</v>
      </c>
      <c r="D60" s="172" t="s">
        <v>449</v>
      </c>
      <c r="E60" s="1483">
        <f>+$E$7</f>
        <v>2020</v>
      </c>
      <c r="F60" s="189">
        <v>0</v>
      </c>
      <c r="G60" s="736"/>
      <c r="H60" s="210"/>
      <c r="I60" s="214"/>
      <c r="J60" s="212"/>
      <c r="K60" s="212"/>
      <c r="L60" s="212"/>
      <c r="M60" s="212"/>
    </row>
    <row r="61" spans="1:14">
      <c r="A61" s="209">
        <f t="shared" si="6"/>
        <v>49</v>
      </c>
      <c r="B61" s="211"/>
      <c r="C61" s="225" t="s">
        <v>156</v>
      </c>
      <c r="D61" s="213" t="s">
        <v>147</v>
      </c>
      <c r="E61" s="1483">
        <f>+$E$8</f>
        <v>2021</v>
      </c>
      <c r="F61" s="189">
        <v>0</v>
      </c>
      <c r="G61" s="737"/>
      <c r="H61" s="213"/>
      <c r="I61" s="213"/>
      <c r="J61" s="212"/>
      <c r="K61" s="212"/>
      <c r="L61" s="212"/>
      <c r="M61" s="212"/>
    </row>
    <row r="62" spans="1:14">
      <c r="A62" s="209">
        <f t="shared" si="6"/>
        <v>50</v>
      </c>
      <c r="B62" s="323"/>
      <c r="C62" s="226" t="s">
        <v>155</v>
      </c>
      <c r="D62" s="213" t="s">
        <v>147</v>
      </c>
      <c r="E62" s="1483">
        <f t="shared" ref="E62:E72" si="7">+$E$8</f>
        <v>2021</v>
      </c>
      <c r="F62" s="189">
        <v>0</v>
      </c>
      <c r="G62" s="736"/>
      <c r="H62" s="210"/>
      <c r="I62" s="210"/>
      <c r="J62" s="212"/>
      <c r="K62" s="212"/>
      <c r="L62" s="212"/>
      <c r="M62" s="212"/>
    </row>
    <row r="63" spans="1:14">
      <c r="A63" s="209">
        <f t="shared" si="6"/>
        <v>51</v>
      </c>
      <c r="B63" s="323"/>
      <c r="C63" s="226" t="s">
        <v>154</v>
      </c>
      <c r="D63" s="213" t="s">
        <v>147</v>
      </c>
      <c r="E63" s="1483">
        <f t="shared" si="7"/>
        <v>2021</v>
      </c>
      <c r="F63" s="189">
        <v>0</v>
      </c>
      <c r="G63" s="736"/>
      <c r="H63" s="210"/>
      <c r="I63" s="210"/>
      <c r="J63" s="212"/>
      <c r="K63" s="212"/>
      <c r="L63" s="212"/>
      <c r="M63" s="212"/>
    </row>
    <row r="64" spans="1:14">
      <c r="A64" s="209">
        <f t="shared" si="6"/>
        <v>52</v>
      </c>
      <c r="B64" s="213"/>
      <c r="C64" s="225" t="s">
        <v>134</v>
      </c>
      <c r="D64" s="213" t="s">
        <v>147</v>
      </c>
      <c r="E64" s="1483">
        <f t="shared" si="7"/>
        <v>2021</v>
      </c>
      <c r="F64" s="189">
        <v>0</v>
      </c>
      <c r="G64" s="736"/>
      <c r="H64" s="210"/>
      <c r="I64" s="210"/>
      <c r="J64" s="212"/>
      <c r="K64" s="212"/>
      <c r="L64" s="212"/>
      <c r="M64" s="212"/>
    </row>
    <row r="65" spans="1:13">
      <c r="A65" s="209">
        <f t="shared" si="6"/>
        <v>53</v>
      </c>
      <c r="B65" s="211"/>
      <c r="C65" s="226" t="s">
        <v>131</v>
      </c>
      <c r="D65" s="213" t="s">
        <v>147</v>
      </c>
      <c r="E65" s="1483">
        <f t="shared" si="7"/>
        <v>2021</v>
      </c>
      <c r="F65" s="189">
        <v>0</v>
      </c>
      <c r="G65" s="232"/>
      <c r="H65" s="213"/>
      <c r="I65" s="213"/>
      <c r="J65" s="213"/>
      <c r="K65" s="213"/>
      <c r="L65" s="213"/>
      <c r="M65" s="213"/>
    </row>
    <row r="66" spans="1:13">
      <c r="A66" s="209">
        <f t="shared" si="6"/>
        <v>54</v>
      </c>
      <c r="B66" s="213"/>
      <c r="C66" s="226" t="s">
        <v>153</v>
      </c>
      <c r="D66" s="213" t="s">
        <v>147</v>
      </c>
      <c r="E66" s="1483">
        <f t="shared" si="7"/>
        <v>2021</v>
      </c>
      <c r="F66" s="189">
        <v>0</v>
      </c>
      <c r="G66" s="736"/>
      <c r="H66" s="210"/>
      <c r="I66" s="214"/>
      <c r="J66" s="212"/>
      <c r="K66" s="212"/>
      <c r="L66" s="212"/>
      <c r="M66" s="212"/>
    </row>
    <row r="67" spans="1:13">
      <c r="A67" s="209">
        <f t="shared" si="6"/>
        <v>55</v>
      </c>
      <c r="B67" s="211"/>
      <c r="C67" s="225" t="s">
        <v>152</v>
      </c>
      <c r="D67" s="213" t="s">
        <v>147</v>
      </c>
      <c r="E67" s="1483">
        <f t="shared" si="7"/>
        <v>2021</v>
      </c>
      <c r="F67" s="189">
        <v>0</v>
      </c>
      <c r="G67" s="737"/>
      <c r="H67" s="213"/>
      <c r="I67" s="213"/>
      <c r="J67" s="212"/>
      <c r="K67" s="212"/>
      <c r="L67" s="212"/>
      <c r="M67" s="212"/>
    </row>
    <row r="68" spans="1:13">
      <c r="A68" s="209">
        <f t="shared" si="6"/>
        <v>56</v>
      </c>
      <c r="B68" s="323"/>
      <c r="C68" s="226" t="s">
        <v>151</v>
      </c>
      <c r="D68" s="213" t="s">
        <v>147</v>
      </c>
      <c r="E68" s="1483">
        <f t="shared" si="7"/>
        <v>2021</v>
      </c>
      <c r="F68" s="189">
        <v>0</v>
      </c>
      <c r="G68" s="736"/>
      <c r="H68" s="210"/>
      <c r="I68" s="210"/>
      <c r="J68" s="212"/>
      <c r="K68" s="212"/>
      <c r="L68" s="212"/>
      <c r="M68" s="212"/>
    </row>
    <row r="69" spans="1:13">
      <c r="A69" s="209">
        <f t="shared" si="6"/>
        <v>57</v>
      </c>
      <c r="B69" s="323"/>
      <c r="C69" s="226" t="s">
        <v>150</v>
      </c>
      <c r="D69" s="213" t="s">
        <v>147</v>
      </c>
      <c r="E69" s="1483">
        <f t="shared" si="7"/>
        <v>2021</v>
      </c>
      <c r="F69" s="189">
        <v>0</v>
      </c>
      <c r="G69" s="736"/>
      <c r="H69" s="210"/>
      <c r="I69" s="210"/>
      <c r="J69" s="212"/>
      <c r="K69" s="212"/>
      <c r="L69" s="212"/>
      <c r="M69" s="212"/>
    </row>
    <row r="70" spans="1:13">
      <c r="A70" s="209">
        <f t="shared" si="6"/>
        <v>58</v>
      </c>
      <c r="B70" s="213"/>
      <c r="C70" s="225" t="s">
        <v>161</v>
      </c>
      <c r="D70" s="213" t="s">
        <v>147</v>
      </c>
      <c r="E70" s="1483">
        <f t="shared" si="7"/>
        <v>2021</v>
      </c>
      <c r="F70" s="189">
        <v>0</v>
      </c>
      <c r="G70" s="736"/>
      <c r="H70" s="210"/>
      <c r="I70" s="210"/>
      <c r="J70" s="212"/>
      <c r="K70" s="212"/>
      <c r="L70" s="212"/>
      <c r="M70" s="212"/>
    </row>
    <row r="71" spans="1:13">
      <c r="A71" s="209">
        <f t="shared" si="6"/>
        <v>59</v>
      </c>
      <c r="B71" s="213"/>
      <c r="C71" s="225" t="s">
        <v>148</v>
      </c>
      <c r="D71" s="213" t="s">
        <v>147</v>
      </c>
      <c r="E71" s="1483">
        <f t="shared" si="7"/>
        <v>2021</v>
      </c>
      <c r="F71" s="189">
        <v>0</v>
      </c>
      <c r="G71" s="232"/>
      <c r="H71" s="210"/>
      <c r="I71" s="210"/>
      <c r="J71" s="212"/>
      <c r="K71" s="212"/>
      <c r="L71" s="212"/>
      <c r="M71" s="212"/>
    </row>
    <row r="72" spans="1:13" ht="15">
      <c r="A72" s="209">
        <f t="shared" si="6"/>
        <v>60</v>
      </c>
      <c r="B72" s="211"/>
      <c r="C72" s="223" t="s">
        <v>146</v>
      </c>
      <c r="D72" s="173" t="s">
        <v>450</v>
      </c>
      <c r="E72" s="1484">
        <f t="shared" si="7"/>
        <v>2021</v>
      </c>
      <c r="F72" s="190">
        <v>0</v>
      </c>
      <c r="G72" s="739"/>
      <c r="H72" s="213"/>
      <c r="I72" s="213"/>
      <c r="J72" s="213"/>
      <c r="K72" s="213"/>
      <c r="L72" s="213"/>
      <c r="M72" s="213"/>
    </row>
    <row r="73" spans="1:13">
      <c r="A73" s="209">
        <f t="shared" si="6"/>
        <v>61</v>
      </c>
      <c r="B73" s="213"/>
      <c r="C73" s="257" t="s">
        <v>160</v>
      </c>
      <c r="D73" s="213" t="str">
        <f>"(sum lines "&amp;A60&amp;"-"&amp;A72&amp;") /13"</f>
        <v>(sum lines 48-60) /13</v>
      </c>
      <c r="E73" s="598"/>
      <c r="F73" s="332">
        <f>SUM(F60:F72)/13</f>
        <v>0</v>
      </c>
      <c r="G73" s="673"/>
      <c r="H73" s="213"/>
      <c r="I73" s="213"/>
      <c r="J73" s="212"/>
      <c r="K73" s="212"/>
      <c r="L73" s="212"/>
      <c r="M73" s="212"/>
    </row>
    <row r="74" spans="1:13">
      <c r="A74" s="209"/>
      <c r="B74" s="323"/>
      <c r="C74" s="226"/>
      <c r="D74" s="213"/>
      <c r="E74" s="598"/>
      <c r="F74" s="333"/>
      <c r="G74" s="736"/>
      <c r="H74" s="210"/>
      <c r="I74" s="210"/>
      <c r="J74" s="212"/>
      <c r="K74" s="212"/>
      <c r="L74" s="212"/>
      <c r="M74" s="212"/>
    </row>
    <row r="75" spans="1:13">
      <c r="A75" s="209">
        <f>+A73+1</f>
        <v>62</v>
      </c>
      <c r="B75" s="211"/>
      <c r="C75" s="217" t="s">
        <v>159</v>
      </c>
      <c r="D75" s="213" t="s">
        <v>145</v>
      </c>
      <c r="E75" s="599"/>
      <c r="F75" s="325"/>
      <c r="G75" s="232"/>
      <c r="H75" s="213"/>
      <c r="I75" s="213"/>
      <c r="J75" s="212"/>
      <c r="K75" s="212"/>
      <c r="L75" s="212"/>
      <c r="M75" s="212"/>
    </row>
    <row r="76" spans="1:13" ht="15">
      <c r="A76" s="209">
        <f>+A75+1</f>
        <v>63</v>
      </c>
      <c r="B76" s="208"/>
      <c r="C76" s="208" t="s">
        <v>146</v>
      </c>
      <c r="D76" s="172" t="s">
        <v>158</v>
      </c>
      <c r="E76" s="1483">
        <f>+$E$7</f>
        <v>2020</v>
      </c>
      <c r="F76" s="189">
        <v>0</v>
      </c>
      <c r="G76" s="736"/>
      <c r="H76" s="210"/>
      <c r="I76" s="214"/>
      <c r="J76" s="212"/>
      <c r="K76" s="212"/>
      <c r="L76" s="212"/>
      <c r="M76" s="212"/>
    </row>
    <row r="77" spans="1:13">
      <c r="A77" s="209">
        <f t="shared" ref="A77:A88" si="8">+A76+1</f>
        <v>64</v>
      </c>
      <c r="B77" s="208"/>
      <c r="C77" s="225" t="s">
        <v>156</v>
      </c>
      <c r="D77" s="213" t="s">
        <v>147</v>
      </c>
      <c r="E77" s="1483">
        <f>+$E$8</f>
        <v>2021</v>
      </c>
      <c r="F77" s="189">
        <v>0</v>
      </c>
      <c r="G77" s="736"/>
      <c r="H77" s="210"/>
      <c r="I77" s="214"/>
      <c r="J77" s="212"/>
      <c r="K77" s="212"/>
      <c r="L77" s="212"/>
      <c r="M77" s="212"/>
    </row>
    <row r="78" spans="1:13">
      <c r="A78" s="209">
        <f t="shared" si="8"/>
        <v>65</v>
      </c>
      <c r="B78" s="208"/>
      <c r="C78" s="226" t="s">
        <v>155</v>
      </c>
      <c r="D78" s="213" t="s">
        <v>147</v>
      </c>
      <c r="E78" s="1483">
        <f t="shared" ref="E78:E88" si="9">+$E$8</f>
        <v>2021</v>
      </c>
      <c r="F78" s="189">
        <v>0</v>
      </c>
      <c r="G78" s="736"/>
      <c r="H78" s="210"/>
      <c r="I78" s="214"/>
      <c r="J78" s="212"/>
      <c r="K78" s="212"/>
      <c r="L78" s="212"/>
      <c r="M78" s="212"/>
    </row>
    <row r="79" spans="1:13">
      <c r="A79" s="209">
        <f t="shared" si="8"/>
        <v>66</v>
      </c>
      <c r="B79" s="208"/>
      <c r="C79" s="226" t="s">
        <v>154</v>
      </c>
      <c r="D79" s="213" t="s">
        <v>147</v>
      </c>
      <c r="E79" s="1483">
        <f t="shared" si="9"/>
        <v>2021</v>
      </c>
      <c r="F79" s="189">
        <v>0</v>
      </c>
      <c r="G79" s="736"/>
      <c r="H79" s="210"/>
      <c r="I79" s="214"/>
      <c r="J79" s="212"/>
      <c r="K79" s="212"/>
      <c r="L79" s="212"/>
      <c r="M79" s="212"/>
    </row>
    <row r="80" spans="1:13">
      <c r="A80" s="209">
        <f t="shared" si="8"/>
        <v>67</v>
      </c>
      <c r="B80" s="208"/>
      <c r="C80" s="225" t="s">
        <v>134</v>
      </c>
      <c r="D80" s="213" t="s">
        <v>147</v>
      </c>
      <c r="E80" s="1483">
        <f t="shared" si="9"/>
        <v>2021</v>
      </c>
      <c r="F80" s="189">
        <v>0</v>
      </c>
      <c r="G80" s="736"/>
      <c r="H80" s="210"/>
      <c r="I80" s="214"/>
      <c r="J80" s="212"/>
      <c r="K80" s="212"/>
      <c r="L80" s="212"/>
      <c r="M80" s="212"/>
    </row>
    <row r="81" spans="1:13">
      <c r="A81" s="209">
        <f t="shared" si="8"/>
        <v>68</v>
      </c>
      <c r="B81" s="208"/>
      <c r="C81" s="226" t="s">
        <v>131</v>
      </c>
      <c r="D81" s="213" t="s">
        <v>147</v>
      </c>
      <c r="E81" s="1483">
        <f t="shared" si="9"/>
        <v>2021</v>
      </c>
      <c r="F81" s="189">
        <v>0</v>
      </c>
      <c r="G81" s="736"/>
      <c r="H81" s="210"/>
      <c r="I81" s="214"/>
      <c r="J81" s="212"/>
      <c r="K81" s="212"/>
      <c r="L81" s="212"/>
      <c r="M81" s="212"/>
    </row>
    <row r="82" spans="1:13">
      <c r="A82" s="209">
        <f t="shared" si="8"/>
        <v>69</v>
      </c>
      <c r="B82" s="208"/>
      <c r="C82" s="226" t="s">
        <v>153</v>
      </c>
      <c r="D82" s="213" t="s">
        <v>147</v>
      </c>
      <c r="E82" s="1483">
        <f t="shared" si="9"/>
        <v>2021</v>
      </c>
      <c r="F82" s="189">
        <v>0</v>
      </c>
      <c r="G82" s="736"/>
      <c r="H82" s="210"/>
      <c r="I82" s="214"/>
      <c r="J82" s="212"/>
      <c r="K82" s="212"/>
      <c r="L82" s="212"/>
      <c r="M82" s="212"/>
    </row>
    <row r="83" spans="1:13">
      <c r="A83" s="209">
        <f t="shared" si="8"/>
        <v>70</v>
      </c>
      <c r="B83" s="208"/>
      <c r="C83" s="225" t="s">
        <v>152</v>
      </c>
      <c r="D83" s="213" t="s">
        <v>147</v>
      </c>
      <c r="E83" s="1483">
        <f t="shared" si="9"/>
        <v>2021</v>
      </c>
      <c r="F83" s="189">
        <v>0</v>
      </c>
      <c r="G83" s="736"/>
      <c r="H83" s="210"/>
      <c r="I83" s="214"/>
      <c r="J83" s="212"/>
      <c r="K83" s="212"/>
      <c r="L83" s="212"/>
      <c r="M83" s="212"/>
    </row>
    <row r="84" spans="1:13">
      <c r="A84" s="209">
        <f t="shared" si="8"/>
        <v>71</v>
      </c>
      <c r="B84" s="208"/>
      <c r="C84" s="226" t="s">
        <v>151</v>
      </c>
      <c r="D84" s="213" t="s">
        <v>147</v>
      </c>
      <c r="E84" s="1483">
        <f t="shared" si="9"/>
        <v>2021</v>
      </c>
      <c r="F84" s="189">
        <v>0</v>
      </c>
      <c r="G84" s="736"/>
      <c r="H84" s="210"/>
      <c r="I84" s="214"/>
      <c r="J84" s="212"/>
      <c r="K84" s="212"/>
      <c r="L84" s="212"/>
      <c r="M84" s="212"/>
    </row>
    <row r="85" spans="1:13">
      <c r="A85" s="209">
        <f t="shared" si="8"/>
        <v>72</v>
      </c>
      <c r="B85" s="208"/>
      <c r="C85" s="226" t="s">
        <v>150</v>
      </c>
      <c r="D85" s="213" t="s">
        <v>147</v>
      </c>
      <c r="E85" s="1483">
        <f t="shared" si="9"/>
        <v>2021</v>
      </c>
      <c r="F85" s="189">
        <v>0</v>
      </c>
      <c r="G85" s="736"/>
      <c r="H85" s="210"/>
      <c r="I85" s="214"/>
      <c r="J85" s="212"/>
      <c r="K85" s="212"/>
      <c r="L85" s="212"/>
      <c r="M85" s="212"/>
    </row>
    <row r="86" spans="1:13">
      <c r="A86" s="209">
        <f t="shared" si="8"/>
        <v>73</v>
      </c>
      <c r="B86" s="208"/>
      <c r="C86" s="225" t="s">
        <v>149</v>
      </c>
      <c r="D86" s="213" t="s">
        <v>147</v>
      </c>
      <c r="E86" s="1483">
        <f t="shared" si="9"/>
        <v>2021</v>
      </c>
      <c r="F86" s="189">
        <v>0</v>
      </c>
      <c r="G86" s="736"/>
      <c r="H86" s="210"/>
      <c r="I86" s="214"/>
      <c r="J86" s="212"/>
      <c r="K86" s="212"/>
      <c r="L86" s="212"/>
      <c r="M86" s="212"/>
    </row>
    <row r="87" spans="1:13">
      <c r="A87" s="209">
        <f t="shared" si="8"/>
        <v>74</v>
      </c>
      <c r="B87" s="208"/>
      <c r="C87" s="225" t="s">
        <v>148</v>
      </c>
      <c r="D87" s="213" t="s">
        <v>147</v>
      </c>
      <c r="E87" s="1483">
        <f t="shared" si="9"/>
        <v>2021</v>
      </c>
      <c r="F87" s="189">
        <v>0</v>
      </c>
      <c r="G87" s="736"/>
      <c r="H87" s="210"/>
      <c r="I87" s="214"/>
      <c r="J87" s="212"/>
      <c r="K87" s="212"/>
      <c r="L87" s="212"/>
      <c r="M87" s="212"/>
    </row>
    <row r="88" spans="1:13" ht="15">
      <c r="A88" s="209">
        <f t="shared" si="8"/>
        <v>75</v>
      </c>
      <c r="B88" s="211"/>
      <c r="C88" s="223" t="s">
        <v>146</v>
      </c>
      <c r="D88" s="173" t="s">
        <v>451</v>
      </c>
      <c r="E88" s="1484">
        <f t="shared" si="9"/>
        <v>2021</v>
      </c>
      <c r="F88" s="190">
        <v>0</v>
      </c>
      <c r="G88" s="739"/>
      <c r="H88" s="213"/>
      <c r="I88" s="213"/>
      <c r="J88" s="213"/>
      <c r="K88" s="213"/>
      <c r="L88" s="213"/>
      <c r="M88" s="213"/>
    </row>
    <row r="89" spans="1:13">
      <c r="A89" s="209">
        <f>+A88+1</f>
        <v>76</v>
      </c>
      <c r="B89" s="213"/>
      <c r="C89" s="257" t="s">
        <v>189</v>
      </c>
      <c r="D89" s="213" t="str">
        <f>"(sum lines "&amp;A76&amp;" - "&amp;A88&amp;") /13"</f>
        <v>(sum lines 63 - 75) /13</v>
      </c>
      <c r="E89" s="598"/>
      <c r="F89" s="332">
        <f>SUM(F76:F88)/13</f>
        <v>0</v>
      </c>
      <c r="G89" s="673"/>
      <c r="H89" s="213"/>
      <c r="I89" s="213"/>
      <c r="J89" s="212"/>
      <c r="K89" s="212"/>
      <c r="L89" s="212"/>
      <c r="M89" s="212"/>
    </row>
    <row r="90" spans="1:13">
      <c r="A90" s="209"/>
      <c r="B90" s="213"/>
      <c r="C90" s="225"/>
      <c r="D90" s="213"/>
      <c r="E90" s="600"/>
      <c r="F90" s="336"/>
      <c r="G90" s="736"/>
      <c r="H90" s="210"/>
      <c r="I90" s="210"/>
      <c r="J90" s="212"/>
      <c r="K90" s="212"/>
      <c r="L90" s="212"/>
      <c r="M90" s="212"/>
    </row>
    <row r="91" spans="1:13">
      <c r="A91" s="209">
        <f>+A89+1</f>
        <v>77</v>
      </c>
      <c r="B91" s="211"/>
      <c r="C91" s="217" t="s">
        <v>157</v>
      </c>
      <c r="D91" s="213" t="s">
        <v>145</v>
      </c>
      <c r="E91" s="599"/>
      <c r="F91" s="325"/>
      <c r="G91" s="232"/>
      <c r="H91" s="213"/>
      <c r="I91" s="213"/>
      <c r="J91" s="212"/>
      <c r="K91" s="212"/>
      <c r="L91" s="212"/>
      <c r="M91" s="212"/>
    </row>
    <row r="92" spans="1:13" ht="15">
      <c r="A92" s="209">
        <f>+A91+1</f>
        <v>78</v>
      </c>
      <c r="B92" s="208"/>
      <c r="C92" s="208" t="s">
        <v>146</v>
      </c>
      <c r="D92" s="172" t="s">
        <v>452</v>
      </c>
      <c r="E92" s="1483">
        <f>+$E$7</f>
        <v>2020</v>
      </c>
      <c r="F92" s="189">
        <v>0</v>
      </c>
      <c r="G92" s="736"/>
      <c r="H92" s="210"/>
      <c r="I92" s="214"/>
      <c r="J92" s="212"/>
      <c r="K92" s="212"/>
      <c r="L92" s="212"/>
      <c r="M92" s="212"/>
    </row>
    <row r="93" spans="1:13">
      <c r="A93" s="209">
        <f t="shared" ref="A93:A104" si="10">+A92+1</f>
        <v>79</v>
      </c>
      <c r="B93" s="208"/>
      <c r="C93" s="246" t="s">
        <v>156</v>
      </c>
      <c r="D93" s="232" t="s">
        <v>147</v>
      </c>
      <c r="E93" s="1483">
        <f>+$E$8</f>
        <v>2021</v>
      </c>
      <c r="F93" s="189">
        <v>0</v>
      </c>
      <c r="G93" s="736"/>
      <c r="H93" s="210"/>
      <c r="I93" s="214"/>
      <c r="J93" s="212"/>
      <c r="K93" s="212"/>
      <c r="L93" s="212"/>
      <c r="M93" s="212"/>
    </row>
    <row r="94" spans="1:13">
      <c r="A94" s="209">
        <f t="shared" si="10"/>
        <v>80</v>
      </c>
      <c r="B94" s="208"/>
      <c r="C94" s="226" t="s">
        <v>155</v>
      </c>
      <c r="D94" s="232" t="s">
        <v>147</v>
      </c>
      <c r="E94" s="1483">
        <f t="shared" ref="E94:E104" si="11">+$E$8</f>
        <v>2021</v>
      </c>
      <c r="F94" s="189">
        <v>0</v>
      </c>
      <c r="G94" s="736"/>
      <c r="H94" s="210"/>
      <c r="I94" s="214"/>
      <c r="J94" s="212"/>
      <c r="K94" s="212"/>
      <c r="L94" s="212"/>
      <c r="M94" s="212"/>
    </row>
    <row r="95" spans="1:13">
      <c r="A95" s="209">
        <f t="shared" si="10"/>
        <v>81</v>
      </c>
      <c r="B95" s="208"/>
      <c r="C95" s="226" t="s">
        <v>154</v>
      </c>
      <c r="D95" s="232" t="s">
        <v>147</v>
      </c>
      <c r="E95" s="1483">
        <f t="shared" si="11"/>
        <v>2021</v>
      </c>
      <c r="F95" s="189">
        <v>0</v>
      </c>
      <c r="G95" s="736"/>
      <c r="H95" s="210"/>
      <c r="I95" s="214"/>
      <c r="J95" s="212"/>
      <c r="K95" s="212"/>
      <c r="L95" s="212"/>
      <c r="M95" s="212"/>
    </row>
    <row r="96" spans="1:13">
      <c r="A96" s="209">
        <f t="shared" si="10"/>
        <v>82</v>
      </c>
      <c r="B96" s="208"/>
      <c r="C96" s="246" t="s">
        <v>134</v>
      </c>
      <c r="D96" s="232" t="s">
        <v>147</v>
      </c>
      <c r="E96" s="1483">
        <f t="shared" si="11"/>
        <v>2021</v>
      </c>
      <c r="F96" s="189">
        <v>0</v>
      </c>
      <c r="G96" s="736"/>
      <c r="H96" s="210"/>
      <c r="I96" s="214"/>
      <c r="J96" s="212"/>
      <c r="K96" s="212"/>
      <c r="L96" s="212"/>
      <c r="M96" s="212"/>
    </row>
    <row r="97" spans="1:13">
      <c r="A97" s="209">
        <f t="shared" si="10"/>
        <v>83</v>
      </c>
      <c r="B97" s="208"/>
      <c r="C97" s="226" t="s">
        <v>131</v>
      </c>
      <c r="D97" s="232" t="s">
        <v>147</v>
      </c>
      <c r="E97" s="1483">
        <f t="shared" si="11"/>
        <v>2021</v>
      </c>
      <c r="F97" s="189">
        <v>0</v>
      </c>
      <c r="G97" s="736"/>
      <c r="H97" s="210"/>
      <c r="I97" s="214"/>
      <c r="J97" s="212"/>
      <c r="K97" s="212"/>
      <c r="L97" s="212"/>
      <c r="M97" s="212"/>
    </row>
    <row r="98" spans="1:13">
      <c r="A98" s="209">
        <f t="shared" si="10"/>
        <v>84</v>
      </c>
      <c r="B98" s="208"/>
      <c r="C98" s="226" t="s">
        <v>153</v>
      </c>
      <c r="D98" s="232" t="s">
        <v>147</v>
      </c>
      <c r="E98" s="1483">
        <f t="shared" si="11"/>
        <v>2021</v>
      </c>
      <c r="F98" s="189">
        <v>0</v>
      </c>
      <c r="G98" s="736"/>
      <c r="H98" s="210"/>
      <c r="I98" s="214"/>
      <c r="J98" s="212"/>
      <c r="K98" s="212"/>
      <c r="L98" s="212"/>
      <c r="M98" s="212"/>
    </row>
    <row r="99" spans="1:13">
      <c r="A99" s="209">
        <f t="shared" si="10"/>
        <v>85</v>
      </c>
      <c r="B99" s="208"/>
      <c r="C99" s="246" t="s">
        <v>152</v>
      </c>
      <c r="D99" s="232" t="s">
        <v>147</v>
      </c>
      <c r="E99" s="1483">
        <f t="shared" si="11"/>
        <v>2021</v>
      </c>
      <c r="F99" s="189">
        <v>0</v>
      </c>
      <c r="G99" s="736"/>
      <c r="H99" s="210"/>
      <c r="I99" s="214"/>
      <c r="J99" s="212"/>
      <c r="K99" s="212"/>
      <c r="L99" s="212"/>
      <c r="M99" s="212"/>
    </row>
    <row r="100" spans="1:13">
      <c r="A100" s="209">
        <f t="shared" si="10"/>
        <v>86</v>
      </c>
      <c r="B100" s="208"/>
      <c r="C100" s="226" t="s">
        <v>151</v>
      </c>
      <c r="D100" s="232" t="s">
        <v>147</v>
      </c>
      <c r="E100" s="1483">
        <f t="shared" si="11"/>
        <v>2021</v>
      </c>
      <c r="F100" s="189">
        <v>0</v>
      </c>
      <c r="G100" s="736"/>
      <c r="H100" s="210"/>
      <c r="I100" s="214"/>
      <c r="J100" s="212"/>
      <c r="K100" s="212"/>
      <c r="L100" s="212"/>
      <c r="M100" s="212"/>
    </row>
    <row r="101" spans="1:13">
      <c r="A101" s="209">
        <f t="shared" si="10"/>
        <v>87</v>
      </c>
      <c r="B101" s="208"/>
      <c r="C101" s="226" t="s">
        <v>150</v>
      </c>
      <c r="D101" s="232" t="s">
        <v>147</v>
      </c>
      <c r="E101" s="1483">
        <f t="shared" si="11"/>
        <v>2021</v>
      </c>
      <c r="F101" s="189">
        <v>0</v>
      </c>
      <c r="G101" s="736"/>
      <c r="H101" s="210"/>
      <c r="I101" s="214"/>
      <c r="J101" s="212"/>
      <c r="K101" s="212"/>
      <c r="L101" s="212"/>
      <c r="M101" s="212"/>
    </row>
    <row r="102" spans="1:13">
      <c r="A102" s="209">
        <f t="shared" si="10"/>
        <v>88</v>
      </c>
      <c r="B102" s="208"/>
      <c r="C102" s="246" t="s">
        <v>149</v>
      </c>
      <c r="D102" s="232" t="s">
        <v>147</v>
      </c>
      <c r="E102" s="1483">
        <f t="shared" si="11"/>
        <v>2021</v>
      </c>
      <c r="F102" s="189">
        <v>0</v>
      </c>
      <c r="G102" s="736"/>
      <c r="H102" s="210"/>
      <c r="I102" s="214"/>
      <c r="J102" s="212"/>
      <c r="K102" s="212"/>
      <c r="L102" s="212"/>
      <c r="M102" s="212"/>
    </row>
    <row r="103" spans="1:13">
      <c r="A103" s="209">
        <f t="shared" si="10"/>
        <v>89</v>
      </c>
      <c r="B103" s="208"/>
      <c r="C103" s="246" t="s">
        <v>148</v>
      </c>
      <c r="D103" s="232" t="s">
        <v>147</v>
      </c>
      <c r="E103" s="1483">
        <f t="shared" si="11"/>
        <v>2021</v>
      </c>
      <c r="F103" s="189">
        <v>0</v>
      </c>
      <c r="G103" s="736"/>
      <c r="H103" s="210"/>
      <c r="I103" s="214"/>
      <c r="J103" s="212"/>
      <c r="K103" s="212"/>
      <c r="L103" s="212"/>
      <c r="M103" s="212"/>
    </row>
    <row r="104" spans="1:13" ht="15">
      <c r="A104" s="209">
        <f t="shared" si="10"/>
        <v>90</v>
      </c>
      <c r="B104" s="211"/>
      <c r="C104" s="223" t="s">
        <v>146</v>
      </c>
      <c r="D104" s="173" t="s">
        <v>453</v>
      </c>
      <c r="E104" s="1484">
        <f t="shared" si="11"/>
        <v>2021</v>
      </c>
      <c r="F104" s="190">
        <v>0</v>
      </c>
      <c r="G104" s="739"/>
      <c r="H104" s="213"/>
      <c r="I104" s="213"/>
      <c r="J104" s="213"/>
      <c r="K104" s="213"/>
      <c r="L104" s="213"/>
      <c r="M104" s="213"/>
    </row>
    <row r="105" spans="1:13">
      <c r="A105" s="209">
        <f>+A104+1</f>
        <v>91</v>
      </c>
      <c r="B105" s="213"/>
      <c r="C105" s="257" t="s">
        <v>190</v>
      </c>
      <c r="D105" s="213" t="str">
        <f>"(sum lines "&amp;A92&amp;" - "&amp;A104&amp;") /13"</f>
        <v>(sum lines 78 - 90) /13</v>
      </c>
      <c r="E105" s="598"/>
      <c r="F105" s="332">
        <f>SUM(F92:F104)/13</f>
        <v>0</v>
      </c>
      <c r="G105" s="673"/>
      <c r="H105" s="213"/>
      <c r="I105" s="213"/>
      <c r="J105" s="212"/>
      <c r="K105" s="212"/>
      <c r="L105" s="212"/>
      <c r="M105" s="212"/>
    </row>
    <row r="106" spans="1:13">
      <c r="A106" s="209"/>
      <c r="B106" s="211"/>
      <c r="C106" s="226"/>
      <c r="D106" s="253"/>
      <c r="E106" s="600"/>
      <c r="F106" s="335"/>
      <c r="G106" s="232"/>
      <c r="H106" s="213"/>
      <c r="I106" s="213"/>
      <c r="J106" s="213"/>
      <c r="K106" s="213"/>
      <c r="L106" s="213"/>
      <c r="M106" s="213"/>
    </row>
    <row r="107" spans="1:13">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3"/>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70"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210"/>
  <sheetViews>
    <sheetView workbookViewId="0">
      <selection activeCell="E170" sqref="E170"/>
    </sheetView>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5.109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39" t="s">
        <v>498</v>
      </c>
      <c r="B3" s="1540"/>
      <c r="C3" s="1540"/>
      <c r="D3" s="1540"/>
      <c r="E3" s="1540"/>
      <c r="F3" s="1541"/>
      <c r="G3" s="322"/>
      <c r="H3" s="322"/>
      <c r="I3" s="322"/>
      <c r="J3" s="1542" t="s">
        <v>110</v>
      </c>
      <c r="K3" s="1543"/>
      <c r="L3" s="1543"/>
      <c r="M3" s="1544"/>
    </row>
    <row r="4" spans="1:22">
      <c r="A4" s="321"/>
      <c r="B4" s="318"/>
      <c r="C4" s="320"/>
      <c r="D4" s="319"/>
      <c r="E4" s="318" t="s">
        <v>199</v>
      </c>
      <c r="F4" s="317" t="s">
        <v>140</v>
      </c>
      <c r="G4" s="316" t="s">
        <v>200</v>
      </c>
      <c r="H4" s="315"/>
      <c r="I4" s="314"/>
      <c r="J4" s="313"/>
      <c r="K4" s="219"/>
      <c r="L4" s="219"/>
      <c r="M4" s="218"/>
    </row>
    <row r="5" spans="1:22" s="1" customFormat="1" ht="15">
      <c r="A5" s="311">
        <f>+'2 - Cost Support '!A107+1</f>
        <v>93</v>
      </c>
      <c r="B5" s="310"/>
      <c r="C5" s="309" t="s">
        <v>274</v>
      </c>
      <c r="D5" s="309" t="s">
        <v>39</v>
      </c>
      <c r="E5" s="224">
        <v>0</v>
      </c>
      <c r="F5" s="224">
        <v>0</v>
      </c>
      <c r="G5" s="579">
        <f>+E5/2+F5/2</f>
        <v>0</v>
      </c>
      <c r="H5" s="306"/>
      <c r="I5" s="305"/>
      <c r="J5" s="305"/>
      <c r="K5" s="305"/>
      <c r="L5" s="304"/>
      <c r="M5" s="166"/>
      <c r="N5" s="7"/>
      <c r="O5" s="7"/>
      <c r="P5" s="7"/>
      <c r="Q5" s="7"/>
      <c r="R5" s="7"/>
      <c r="S5" s="7"/>
      <c r="T5" s="7"/>
      <c r="U5" s="7"/>
      <c r="V5" s="7"/>
    </row>
    <row r="6" spans="1:22" s="1" customFormat="1" ht="15">
      <c r="A6" s="311"/>
      <c r="B6" s="310"/>
      <c r="C6" s="310"/>
      <c r="D6" s="309"/>
      <c r="E6" s="308"/>
      <c r="F6" s="308"/>
      <c r="G6" s="579"/>
      <c r="H6" s="306"/>
      <c r="I6" s="305"/>
      <c r="J6" s="305"/>
      <c r="K6" s="305"/>
      <c r="L6" s="304"/>
      <c r="M6" s="166"/>
      <c r="N6" s="7"/>
      <c r="O6" s="7"/>
      <c r="P6" s="7"/>
      <c r="Q6" s="7"/>
      <c r="R6" s="7"/>
      <c r="S6" s="7"/>
      <c r="T6" s="7"/>
      <c r="U6" s="7"/>
      <c r="V6" s="7"/>
    </row>
    <row r="7" spans="1:22" s="1" customFormat="1" ht="15">
      <c r="A7" s="311">
        <f>+A5+1</f>
        <v>94</v>
      </c>
      <c r="B7" s="310"/>
      <c r="C7" s="310" t="s">
        <v>227</v>
      </c>
      <c r="D7" s="308" t="s">
        <v>228</v>
      </c>
      <c r="E7" s="1518">
        <v>4321914.5684210518</v>
      </c>
      <c r="F7" s="1518">
        <v>2881276</v>
      </c>
      <c r="G7" s="580">
        <f>+E7/2+F7/2</f>
        <v>3601595.2842105259</v>
      </c>
      <c r="H7" s="163"/>
      <c r="I7" s="127"/>
      <c r="J7" s="127"/>
      <c r="K7" s="305"/>
      <c r="L7" s="304"/>
      <c r="M7" s="166"/>
      <c r="N7" s="7"/>
      <c r="O7" s="7"/>
      <c r="P7" s="7"/>
      <c r="Q7" s="7"/>
      <c r="R7" s="7"/>
      <c r="S7" s="7"/>
      <c r="T7" s="7"/>
      <c r="U7" s="7"/>
      <c r="V7" s="7"/>
    </row>
    <row r="8" spans="1:22" s="1" customFormat="1" ht="15">
      <c r="A8" s="311"/>
      <c r="B8" s="310"/>
      <c r="C8" s="388" t="s">
        <v>1004</v>
      </c>
      <c r="D8" s="308"/>
      <c r="E8" s="308"/>
      <c r="F8" s="308"/>
      <c r="G8" s="580"/>
      <c r="H8" s="163"/>
      <c r="I8" s="127"/>
      <c r="J8" s="126"/>
      <c r="K8" s="305"/>
      <c r="L8" s="304"/>
      <c r="M8" s="166"/>
      <c r="N8" s="7"/>
      <c r="O8" s="7"/>
      <c r="P8" s="7"/>
      <c r="Q8" s="7"/>
      <c r="R8" s="7"/>
      <c r="S8" s="7"/>
      <c r="T8" s="7"/>
      <c r="U8" s="7"/>
      <c r="V8" s="7"/>
    </row>
    <row r="9" spans="1:22" s="1" customFormat="1" ht="15">
      <c r="A9" s="311">
        <f>+A7+1</f>
        <v>95</v>
      </c>
      <c r="B9" s="310"/>
      <c r="C9" s="388" t="s">
        <v>443</v>
      </c>
      <c r="D9" s="308"/>
      <c r="E9" s="308"/>
      <c r="F9" s="1519">
        <v>1440638.28</v>
      </c>
      <c r="G9" s="580"/>
      <c r="H9" s="163"/>
      <c r="I9" s="127"/>
      <c r="J9" s="126"/>
      <c r="K9" s="305"/>
      <c r="L9" s="304"/>
      <c r="M9" s="166"/>
      <c r="N9" s="7"/>
      <c r="O9" s="7"/>
      <c r="P9" s="7"/>
      <c r="Q9" s="7"/>
      <c r="R9" s="7"/>
      <c r="S9" s="7"/>
      <c r="T9" s="7"/>
      <c r="U9" s="7"/>
      <c r="V9" s="7"/>
    </row>
    <row r="10" spans="1:22" s="1" customFormat="1" ht="15">
      <c r="A10" s="311"/>
      <c r="B10" s="310"/>
      <c r="C10" s="388" t="str">
        <f>+C8</f>
        <v xml:space="preserve">  (recovery of abandoned plant requires a FERC order approving the amount and recovery period and Attachment 11 being completed)</v>
      </c>
      <c r="D10" s="308"/>
      <c r="E10" s="308"/>
      <c r="F10" s="308"/>
      <c r="G10" s="580"/>
      <c r="H10" s="163"/>
      <c r="I10" s="127"/>
      <c r="J10" s="126"/>
      <c r="K10" s="305"/>
      <c r="L10" s="304"/>
      <c r="M10" s="166"/>
      <c r="N10" s="7"/>
      <c r="O10" s="7"/>
      <c r="P10" s="7"/>
      <c r="Q10" s="7"/>
      <c r="R10" s="7"/>
      <c r="S10" s="7"/>
      <c r="T10" s="7"/>
      <c r="U10" s="7"/>
      <c r="V10" s="7"/>
    </row>
    <row r="11" spans="1:22" s="1" customFormat="1" ht="15">
      <c r="A11" s="311">
        <f>+A9+1</f>
        <v>96</v>
      </c>
      <c r="B11" s="310"/>
      <c r="C11" s="717" t="s">
        <v>223</v>
      </c>
      <c r="E11" s="215"/>
      <c r="F11" s="215"/>
      <c r="G11" s="580"/>
      <c r="H11" s="163"/>
      <c r="I11" s="127"/>
      <c r="J11" s="127"/>
      <c r="K11" s="305"/>
      <c r="L11" s="304"/>
      <c r="M11" s="166"/>
      <c r="N11" s="7"/>
      <c r="O11" s="7"/>
      <c r="P11" s="7"/>
      <c r="Q11" s="7"/>
      <c r="R11" s="7"/>
      <c r="S11" s="7"/>
      <c r="T11" s="7"/>
      <c r="U11" s="7"/>
      <c r="V11" s="7"/>
    </row>
    <row r="12" spans="1:22" s="1" customFormat="1" ht="15">
      <c r="A12" s="311"/>
      <c r="B12" s="310"/>
      <c r="C12" s="309" t="s">
        <v>320</v>
      </c>
      <c r="D12" s="309"/>
      <c r="E12" s="210" t="s">
        <v>135</v>
      </c>
      <c r="F12" s="216" t="s">
        <v>130</v>
      </c>
      <c r="G12" s="307"/>
      <c r="H12" s="312"/>
      <c r="I12" s="305"/>
      <c r="J12" s="305"/>
      <c r="K12" s="305"/>
      <c r="L12" s="304"/>
      <c r="M12" s="166"/>
      <c r="N12" s="7"/>
      <c r="O12" s="7"/>
      <c r="P12" s="7"/>
      <c r="Q12" s="7"/>
      <c r="R12" s="7"/>
      <c r="S12" s="7"/>
      <c r="T12" s="7"/>
      <c r="U12" s="7"/>
      <c r="V12" s="7"/>
    </row>
    <row r="13" spans="1:22" s="1" customFormat="1" ht="15">
      <c r="A13" s="235">
        <f>+A11+1</f>
        <v>97</v>
      </c>
      <c r="B13" s="234"/>
      <c r="C13" s="208" t="s">
        <v>146</v>
      </c>
      <c r="D13" s="308" t="s">
        <v>446</v>
      </c>
      <c r="E13" s="596">
        <v>0</v>
      </c>
      <c r="F13" s="1192">
        <v>0</v>
      </c>
      <c r="I13" s="305"/>
      <c r="J13" s="305"/>
      <c r="K13" s="305"/>
      <c r="L13" s="304"/>
      <c r="M13" s="166"/>
      <c r="N13" s="7"/>
      <c r="O13" s="7"/>
      <c r="P13" s="7"/>
      <c r="Q13" s="7"/>
      <c r="R13" s="7"/>
      <c r="S13" s="7"/>
      <c r="T13" s="7"/>
      <c r="U13" s="7"/>
      <c r="V13" s="7"/>
    </row>
    <row r="14" spans="1:22" s="1" customFormat="1" ht="15">
      <c r="A14" s="235">
        <f t="shared" ref="A14:A26" si="0">+A13+1</f>
        <v>98</v>
      </c>
      <c r="B14" s="234"/>
      <c r="C14" s="246" t="s">
        <v>156</v>
      </c>
      <c r="D14" s="232" t="s">
        <v>147</v>
      </c>
      <c r="E14" s="596">
        <v>0</v>
      </c>
      <c r="F14" s="1192">
        <v>0</v>
      </c>
      <c r="I14" s="305"/>
      <c r="J14" s="305"/>
      <c r="K14" s="305"/>
      <c r="L14" s="304"/>
      <c r="M14" s="166"/>
      <c r="N14" s="7"/>
      <c r="O14" s="7"/>
      <c r="P14" s="7"/>
      <c r="Q14" s="7"/>
      <c r="R14" s="7"/>
      <c r="S14" s="7"/>
      <c r="T14" s="7"/>
      <c r="U14" s="7"/>
      <c r="V14" s="7"/>
    </row>
    <row r="15" spans="1:22" s="1" customFormat="1" ht="15">
      <c r="A15" s="235">
        <f t="shared" si="0"/>
        <v>99</v>
      </c>
      <c r="B15" s="234"/>
      <c r="C15" s="226" t="s">
        <v>155</v>
      </c>
      <c r="D15" s="232" t="s">
        <v>147</v>
      </c>
      <c r="E15" s="596">
        <v>0</v>
      </c>
      <c r="F15" s="1192">
        <v>0</v>
      </c>
      <c r="I15" s="305"/>
      <c r="J15" s="305"/>
      <c r="K15" s="305"/>
      <c r="L15" s="304"/>
      <c r="M15" s="166"/>
      <c r="N15" s="7"/>
      <c r="O15" s="7"/>
      <c r="P15" s="7"/>
      <c r="Q15" s="7"/>
      <c r="R15" s="7"/>
      <c r="S15" s="7"/>
      <c r="T15" s="7"/>
      <c r="U15" s="7"/>
      <c r="V15" s="7"/>
    </row>
    <row r="16" spans="1:22" s="1" customFormat="1" ht="15">
      <c r="A16" s="235">
        <f t="shared" si="0"/>
        <v>100</v>
      </c>
      <c r="B16" s="234"/>
      <c r="C16" s="226" t="s">
        <v>154</v>
      </c>
      <c r="D16" s="232" t="s">
        <v>147</v>
      </c>
      <c r="E16" s="596">
        <v>0</v>
      </c>
      <c r="F16" s="1192">
        <v>0</v>
      </c>
      <c r="I16" s="305"/>
      <c r="J16" s="305"/>
      <c r="K16" s="305"/>
      <c r="L16" s="304"/>
      <c r="M16" s="166"/>
      <c r="N16" s="7"/>
      <c r="O16" s="7"/>
      <c r="P16" s="7"/>
      <c r="Q16" s="7"/>
      <c r="R16" s="7"/>
      <c r="S16" s="7"/>
      <c r="T16" s="7"/>
      <c r="U16" s="7"/>
      <c r="V16" s="7"/>
    </row>
    <row r="17" spans="1:22" s="1" customFormat="1" ht="15">
      <c r="A17" s="235">
        <f t="shared" si="0"/>
        <v>101</v>
      </c>
      <c r="B17" s="234"/>
      <c r="C17" s="246" t="s">
        <v>134</v>
      </c>
      <c r="D17" s="232" t="s">
        <v>147</v>
      </c>
      <c r="E17" s="596">
        <v>0</v>
      </c>
      <c r="F17" s="1192">
        <v>0</v>
      </c>
      <c r="I17" s="305"/>
      <c r="J17" s="305"/>
      <c r="K17" s="305"/>
      <c r="L17" s="304"/>
      <c r="M17" s="166"/>
      <c r="N17" s="7"/>
      <c r="O17" s="7"/>
      <c r="P17" s="7"/>
      <c r="Q17" s="7"/>
      <c r="R17" s="7"/>
      <c r="S17" s="7"/>
      <c r="T17" s="7"/>
      <c r="U17" s="7"/>
      <c r="V17" s="7"/>
    </row>
    <row r="18" spans="1:22" s="1" customFormat="1" ht="15">
      <c r="A18" s="235">
        <f t="shared" si="0"/>
        <v>102</v>
      </c>
      <c r="B18" s="234"/>
      <c r="C18" s="226" t="s">
        <v>131</v>
      </c>
      <c r="D18" s="232" t="s">
        <v>147</v>
      </c>
      <c r="E18" s="596">
        <v>0</v>
      </c>
      <c r="F18" s="1192">
        <v>0</v>
      </c>
      <c r="I18" s="305"/>
      <c r="J18" s="305"/>
      <c r="K18" s="305"/>
      <c r="L18" s="304"/>
      <c r="M18" s="166"/>
      <c r="N18" s="7"/>
      <c r="O18" s="7"/>
      <c r="P18" s="7"/>
      <c r="Q18" s="7"/>
      <c r="R18" s="7"/>
      <c r="S18" s="7"/>
      <c r="T18" s="7"/>
      <c r="U18" s="7"/>
      <c r="V18" s="7"/>
    </row>
    <row r="19" spans="1:22" s="1" customFormat="1" ht="15">
      <c r="A19" s="235">
        <f t="shared" si="0"/>
        <v>103</v>
      </c>
      <c r="B19" s="234"/>
      <c r="C19" s="226" t="s">
        <v>153</v>
      </c>
      <c r="D19" s="232" t="s">
        <v>147</v>
      </c>
      <c r="E19" s="596">
        <v>0</v>
      </c>
      <c r="F19" s="1192">
        <v>0</v>
      </c>
      <c r="I19" s="305"/>
      <c r="J19" s="305"/>
      <c r="K19" s="305"/>
      <c r="L19" s="304"/>
      <c r="M19" s="166"/>
      <c r="N19" s="7"/>
      <c r="O19" s="7"/>
      <c r="P19" s="7"/>
      <c r="Q19" s="7"/>
      <c r="R19" s="7"/>
      <c r="S19" s="7"/>
      <c r="T19" s="7"/>
      <c r="U19" s="7"/>
      <c r="V19" s="7"/>
    </row>
    <row r="20" spans="1:22" s="1" customFormat="1" ht="15">
      <c r="A20" s="235">
        <f t="shared" si="0"/>
        <v>104</v>
      </c>
      <c r="B20" s="234"/>
      <c r="C20" s="246" t="s">
        <v>152</v>
      </c>
      <c r="D20" s="232" t="s">
        <v>147</v>
      </c>
      <c r="E20" s="596">
        <v>0</v>
      </c>
      <c r="F20" s="1192">
        <v>0</v>
      </c>
      <c r="I20" s="305"/>
      <c r="J20" s="305"/>
      <c r="K20" s="305"/>
      <c r="L20" s="304"/>
      <c r="M20" s="166"/>
      <c r="N20" s="7"/>
      <c r="O20" s="7"/>
      <c r="P20" s="7"/>
      <c r="Q20" s="7"/>
      <c r="R20" s="7"/>
      <c r="S20" s="7"/>
      <c r="T20" s="7"/>
      <c r="U20" s="7"/>
      <c r="V20" s="7"/>
    </row>
    <row r="21" spans="1:22" s="1" customFormat="1" ht="15">
      <c r="A21" s="235">
        <f t="shared" si="0"/>
        <v>105</v>
      </c>
      <c r="B21" s="234"/>
      <c r="C21" s="226" t="s">
        <v>151</v>
      </c>
      <c r="D21" s="232" t="s">
        <v>147</v>
      </c>
      <c r="E21" s="596">
        <v>0</v>
      </c>
      <c r="F21" s="1192">
        <v>0</v>
      </c>
      <c r="I21" s="305"/>
      <c r="J21" s="305"/>
      <c r="K21" s="305"/>
      <c r="L21" s="304"/>
      <c r="M21" s="166"/>
      <c r="N21" s="7"/>
      <c r="O21" s="7"/>
      <c r="P21" s="7"/>
      <c r="Q21" s="7"/>
      <c r="R21" s="7"/>
      <c r="S21" s="7"/>
      <c r="T21" s="7"/>
      <c r="U21" s="7"/>
      <c r="V21" s="7"/>
    </row>
    <row r="22" spans="1:22" s="1" customFormat="1" ht="15">
      <c r="A22" s="235">
        <f t="shared" si="0"/>
        <v>106</v>
      </c>
      <c r="B22" s="234"/>
      <c r="C22" s="226" t="s">
        <v>150</v>
      </c>
      <c r="D22" s="232" t="s">
        <v>147</v>
      </c>
      <c r="E22" s="596">
        <v>0</v>
      </c>
      <c r="F22" s="1192">
        <v>0</v>
      </c>
      <c r="I22" s="305"/>
      <c r="J22" s="305"/>
      <c r="K22" s="305"/>
      <c r="L22" s="304"/>
      <c r="M22" s="166"/>
      <c r="N22" s="7"/>
      <c r="O22" s="7"/>
      <c r="P22" s="7"/>
      <c r="Q22" s="7"/>
      <c r="R22" s="7"/>
      <c r="S22" s="7"/>
      <c r="T22" s="7"/>
      <c r="U22" s="7"/>
      <c r="V22" s="7"/>
    </row>
    <row r="23" spans="1:22" s="1" customFormat="1" ht="15">
      <c r="A23" s="235">
        <f t="shared" si="0"/>
        <v>107</v>
      </c>
      <c r="B23" s="234"/>
      <c r="C23" s="246" t="s">
        <v>149</v>
      </c>
      <c r="D23" s="232" t="s">
        <v>147</v>
      </c>
      <c r="E23" s="596">
        <v>0</v>
      </c>
      <c r="F23" s="1192">
        <v>0</v>
      </c>
      <c r="I23" s="305"/>
      <c r="J23" s="305"/>
      <c r="K23" s="305"/>
      <c r="L23" s="304"/>
      <c r="M23" s="166"/>
      <c r="N23" s="7"/>
      <c r="O23" s="7"/>
      <c r="P23" s="7"/>
      <c r="Q23" s="7"/>
      <c r="R23" s="7"/>
      <c r="S23" s="7"/>
      <c r="T23" s="7"/>
      <c r="U23" s="7"/>
      <c r="V23" s="7"/>
    </row>
    <row r="24" spans="1:22" s="1" customFormat="1" ht="15">
      <c r="A24" s="235">
        <f t="shared" si="0"/>
        <v>108</v>
      </c>
      <c r="B24" s="234"/>
      <c r="C24" s="246" t="s">
        <v>148</v>
      </c>
      <c r="D24" s="232" t="s">
        <v>147</v>
      </c>
      <c r="E24" s="596">
        <v>0</v>
      </c>
      <c r="F24" s="1192">
        <v>0</v>
      </c>
      <c r="I24" s="305"/>
      <c r="J24" s="305"/>
      <c r="K24" s="305"/>
      <c r="L24" s="304"/>
      <c r="M24" s="166"/>
      <c r="N24" s="7"/>
      <c r="O24" s="7"/>
      <c r="P24" s="7"/>
      <c r="Q24" s="7"/>
      <c r="R24" s="7"/>
      <c r="S24" s="7"/>
      <c r="T24" s="7"/>
      <c r="U24" s="7"/>
      <c r="V24" s="7"/>
    </row>
    <row r="25" spans="1:22" s="1" customFormat="1" ht="15">
      <c r="A25" s="235">
        <f t="shared" si="0"/>
        <v>109</v>
      </c>
      <c r="B25" s="234"/>
      <c r="C25" s="223" t="s">
        <v>146</v>
      </c>
      <c r="D25" s="716" t="s">
        <v>41</v>
      </c>
      <c r="E25" s="597">
        <v>0</v>
      </c>
      <c r="F25" s="1193">
        <v>0</v>
      </c>
      <c r="I25" s="305"/>
      <c r="J25" s="305"/>
      <c r="K25" s="305"/>
      <c r="L25" s="304"/>
      <c r="M25" s="166"/>
      <c r="N25" s="7"/>
      <c r="O25" s="7"/>
      <c r="P25" s="7"/>
      <c r="Q25" s="7"/>
      <c r="R25" s="7"/>
      <c r="S25" s="7"/>
      <c r="T25" s="7"/>
      <c r="U25" s="7"/>
      <c r="V25" s="7"/>
    </row>
    <row r="26" spans="1:22" s="1" customFormat="1" ht="15">
      <c r="A26" s="235">
        <f t="shared" si="0"/>
        <v>110</v>
      </c>
      <c r="B26" s="234"/>
      <c r="C26" s="257" t="s">
        <v>442</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2" t="s">
        <v>145</v>
      </c>
      <c r="E29" s="317" t="s">
        <v>135</v>
      </c>
      <c r="F29" s="830" t="s">
        <v>1057</v>
      </c>
      <c r="G29" s="831" t="s">
        <v>371</v>
      </c>
      <c r="H29" s="763" t="s">
        <v>21</v>
      </c>
      <c r="I29" s="397"/>
      <c r="J29" s="744"/>
      <c r="K29" s="746"/>
      <c r="L29" s="746"/>
      <c r="M29" s="747"/>
    </row>
    <row r="30" spans="1:22">
      <c r="A30" s="235">
        <f t="shared" ref="A30:A43" si="1">+A29+1</f>
        <v>112</v>
      </c>
      <c r="B30" s="234"/>
      <c r="C30" s="208" t="s">
        <v>146</v>
      </c>
      <c r="D30" s="253" t="s">
        <v>447</v>
      </c>
      <c r="E30" s="596">
        <v>0</v>
      </c>
      <c r="F30" s="1189">
        <v>0</v>
      </c>
      <c r="G30" s="1188">
        <v>0</v>
      </c>
      <c r="H30" s="196">
        <f>+F30+G30</f>
        <v>0</v>
      </c>
      <c r="I30" s="350"/>
      <c r="J30" s="298"/>
      <c r="K30" s="743"/>
      <c r="L30" s="743"/>
      <c r="M30" s="745"/>
    </row>
    <row r="31" spans="1:22">
      <c r="A31" s="235">
        <f t="shared" si="1"/>
        <v>113</v>
      </c>
      <c r="B31" s="234"/>
      <c r="C31" s="246" t="s">
        <v>156</v>
      </c>
      <c r="D31" s="232" t="s">
        <v>147</v>
      </c>
      <c r="E31" s="596">
        <v>0</v>
      </c>
      <c r="F31" s="1189">
        <v>0</v>
      </c>
      <c r="G31" s="1188">
        <v>0</v>
      </c>
      <c r="H31" s="196">
        <f t="shared" ref="H31:H42" si="2">+F31+G31</f>
        <v>0</v>
      </c>
      <c r="I31" s="350"/>
      <c r="J31" s="298"/>
      <c r="K31" s="743"/>
      <c r="L31" s="743"/>
      <c r="M31" s="745"/>
    </row>
    <row r="32" spans="1:22">
      <c r="A32" s="235">
        <f t="shared" si="1"/>
        <v>114</v>
      </c>
      <c r="B32" s="234"/>
      <c r="C32" s="226" t="s">
        <v>155</v>
      </c>
      <c r="D32" s="232" t="s">
        <v>147</v>
      </c>
      <c r="E32" s="596">
        <v>0</v>
      </c>
      <c r="F32" s="1189">
        <v>0</v>
      </c>
      <c r="G32" s="1188">
        <v>0</v>
      </c>
      <c r="H32" s="196">
        <f t="shared" si="2"/>
        <v>0</v>
      </c>
      <c r="I32" s="350"/>
      <c r="J32" s="298"/>
      <c r="K32" s="743"/>
      <c r="L32" s="743"/>
      <c r="M32" s="745"/>
    </row>
    <row r="33" spans="1:13">
      <c r="A33" s="235">
        <f t="shared" si="1"/>
        <v>115</v>
      </c>
      <c r="B33" s="234"/>
      <c r="C33" s="226" t="s">
        <v>154</v>
      </c>
      <c r="D33" s="232" t="s">
        <v>147</v>
      </c>
      <c r="E33" s="596">
        <v>0</v>
      </c>
      <c r="F33" s="1189">
        <v>0</v>
      </c>
      <c r="G33" s="1188">
        <v>0</v>
      </c>
      <c r="H33" s="196">
        <f t="shared" si="2"/>
        <v>0</v>
      </c>
      <c r="I33" s="350"/>
      <c r="J33" s="298"/>
      <c r="K33" s="743"/>
      <c r="L33" s="743"/>
      <c r="M33" s="745"/>
    </row>
    <row r="34" spans="1:13">
      <c r="A34" s="235">
        <f t="shared" si="1"/>
        <v>116</v>
      </c>
      <c r="B34" s="234"/>
      <c r="C34" s="246" t="s">
        <v>134</v>
      </c>
      <c r="D34" s="232" t="s">
        <v>147</v>
      </c>
      <c r="E34" s="596">
        <v>0</v>
      </c>
      <c r="F34" s="1189">
        <v>0</v>
      </c>
      <c r="G34" s="1188">
        <v>0</v>
      </c>
      <c r="H34" s="196">
        <f t="shared" si="2"/>
        <v>0</v>
      </c>
      <c r="I34" s="350"/>
      <c r="J34" s="298"/>
      <c r="K34" s="743"/>
      <c r="L34" s="743"/>
      <c r="M34" s="745"/>
    </row>
    <row r="35" spans="1:13">
      <c r="A35" s="235">
        <f t="shared" si="1"/>
        <v>117</v>
      </c>
      <c r="B35" s="234"/>
      <c r="C35" s="226" t="s">
        <v>131</v>
      </c>
      <c r="D35" s="232" t="s">
        <v>147</v>
      </c>
      <c r="E35" s="596">
        <v>0</v>
      </c>
      <c r="F35" s="1189">
        <v>0</v>
      </c>
      <c r="G35" s="1188">
        <v>0</v>
      </c>
      <c r="H35" s="196">
        <f t="shared" si="2"/>
        <v>0</v>
      </c>
      <c r="I35" s="350"/>
      <c r="J35" s="298"/>
      <c r="K35" s="743"/>
      <c r="L35" s="743"/>
      <c r="M35" s="745"/>
    </row>
    <row r="36" spans="1:13">
      <c r="A36" s="235">
        <f t="shared" si="1"/>
        <v>118</v>
      </c>
      <c r="B36" s="234"/>
      <c r="C36" s="226" t="s">
        <v>153</v>
      </c>
      <c r="D36" s="232" t="s">
        <v>147</v>
      </c>
      <c r="E36" s="596">
        <v>0</v>
      </c>
      <c r="F36" s="1189">
        <v>0</v>
      </c>
      <c r="G36" s="1188">
        <v>0</v>
      </c>
      <c r="H36" s="196">
        <f t="shared" si="2"/>
        <v>0</v>
      </c>
      <c r="I36" s="350"/>
      <c r="J36" s="298"/>
      <c r="K36" s="743"/>
      <c r="L36" s="743"/>
      <c r="M36" s="745"/>
    </row>
    <row r="37" spans="1:13">
      <c r="A37" s="235">
        <f t="shared" si="1"/>
        <v>119</v>
      </c>
      <c r="B37" s="234"/>
      <c r="C37" s="246" t="s">
        <v>152</v>
      </c>
      <c r="D37" s="232" t="s">
        <v>147</v>
      </c>
      <c r="E37" s="596">
        <v>0</v>
      </c>
      <c r="F37" s="1189">
        <v>0</v>
      </c>
      <c r="G37" s="1188">
        <v>0</v>
      </c>
      <c r="H37" s="196">
        <f t="shared" si="2"/>
        <v>0</v>
      </c>
      <c r="I37" s="350"/>
      <c r="J37" s="298"/>
      <c r="K37" s="743"/>
      <c r="L37" s="743"/>
      <c r="M37" s="745"/>
    </row>
    <row r="38" spans="1:13">
      <c r="A38" s="235">
        <f t="shared" si="1"/>
        <v>120</v>
      </c>
      <c r="B38" s="234"/>
      <c r="C38" s="226" t="s">
        <v>151</v>
      </c>
      <c r="D38" s="232" t="s">
        <v>147</v>
      </c>
      <c r="E38" s="596">
        <v>0</v>
      </c>
      <c r="F38" s="1189">
        <v>0</v>
      </c>
      <c r="G38" s="1188">
        <v>0</v>
      </c>
      <c r="H38" s="196">
        <f t="shared" si="2"/>
        <v>0</v>
      </c>
      <c r="I38" s="350"/>
      <c r="J38" s="298"/>
      <c r="K38" s="743"/>
      <c r="L38" s="743"/>
      <c r="M38" s="745"/>
    </row>
    <row r="39" spans="1:13">
      <c r="A39" s="235">
        <f t="shared" si="1"/>
        <v>121</v>
      </c>
      <c r="B39" s="234"/>
      <c r="C39" s="226" t="s">
        <v>150</v>
      </c>
      <c r="D39" s="232" t="s">
        <v>147</v>
      </c>
      <c r="E39" s="596">
        <v>0</v>
      </c>
      <c r="F39" s="1189">
        <v>0</v>
      </c>
      <c r="G39" s="1188">
        <v>0</v>
      </c>
      <c r="H39" s="196">
        <f t="shared" si="2"/>
        <v>0</v>
      </c>
      <c r="I39" s="350"/>
      <c r="J39" s="298"/>
      <c r="K39" s="743"/>
      <c r="L39" s="743"/>
      <c r="M39" s="745"/>
    </row>
    <row r="40" spans="1:13">
      <c r="A40" s="235">
        <f t="shared" si="1"/>
        <v>122</v>
      </c>
      <c r="B40" s="234"/>
      <c r="C40" s="246" t="s">
        <v>149</v>
      </c>
      <c r="D40" s="232" t="s">
        <v>147</v>
      </c>
      <c r="E40" s="596">
        <v>0</v>
      </c>
      <c r="F40" s="1189">
        <v>0</v>
      </c>
      <c r="G40" s="1188">
        <v>0</v>
      </c>
      <c r="H40" s="196">
        <f t="shared" si="2"/>
        <v>0</v>
      </c>
      <c r="I40" s="350"/>
      <c r="J40" s="298"/>
      <c r="K40" s="743"/>
      <c r="L40" s="743"/>
      <c r="M40" s="745"/>
    </row>
    <row r="41" spans="1:13">
      <c r="A41" s="235">
        <f t="shared" si="1"/>
        <v>123</v>
      </c>
      <c r="B41" s="234"/>
      <c r="C41" s="246" t="s">
        <v>148</v>
      </c>
      <c r="D41" s="232" t="s">
        <v>147</v>
      </c>
      <c r="E41" s="596">
        <v>0</v>
      </c>
      <c r="F41" s="1189">
        <v>0</v>
      </c>
      <c r="G41" s="1188">
        <v>0</v>
      </c>
      <c r="H41" s="196">
        <f t="shared" si="2"/>
        <v>0</v>
      </c>
      <c r="I41" s="350"/>
      <c r="J41" s="298"/>
      <c r="K41" s="743"/>
      <c r="L41" s="743"/>
      <c r="M41" s="745"/>
    </row>
    <row r="42" spans="1:13">
      <c r="A42" s="235">
        <f t="shared" si="1"/>
        <v>124</v>
      </c>
      <c r="B42" s="234"/>
      <c r="C42" s="223" t="s">
        <v>146</v>
      </c>
      <c r="D42" s="716" t="s">
        <v>251</v>
      </c>
      <c r="E42" s="597">
        <v>0</v>
      </c>
      <c r="F42" s="1191">
        <v>0</v>
      </c>
      <c r="G42" s="1190">
        <v>0</v>
      </c>
      <c r="H42" s="1477">
        <f t="shared" si="2"/>
        <v>0</v>
      </c>
      <c r="I42" s="350"/>
      <c r="J42" s="298"/>
      <c r="K42" s="743"/>
      <c r="L42" s="743"/>
      <c r="M42" s="745"/>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3"/>
      <c r="L43" s="743"/>
      <c r="M43" s="745"/>
    </row>
    <row r="44" spans="1:13">
      <c r="A44" s="235"/>
      <c r="B44" s="234"/>
      <c r="C44" s="257"/>
      <c r="D44" s="213"/>
      <c r="E44" s="255"/>
      <c r="F44" s="215"/>
      <c r="G44" s="327"/>
      <c r="H44" s="215"/>
      <c r="I44" s="350"/>
      <c r="J44" s="298"/>
      <c r="K44" s="1350"/>
      <c r="L44" s="1350"/>
      <c r="M44" s="1351"/>
    </row>
    <row r="45" spans="1:13" ht="15.75" thickBot="1">
      <c r="A45" s="244"/>
      <c r="B45" s="243"/>
      <c r="C45" s="1462" t="s">
        <v>1021</v>
      </c>
      <c r="D45" s="764"/>
      <c r="E45" s="289"/>
      <c r="F45" s="205"/>
      <c r="G45" s="765"/>
      <c r="H45" s="302"/>
      <c r="I45" s="295"/>
      <c r="J45" s="766"/>
      <c r="K45" s="767"/>
      <c r="L45" s="767"/>
      <c r="M45" s="768"/>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45"/>
      <c r="K48" s="1545"/>
      <c r="L48" s="1545"/>
      <c r="M48" s="1546"/>
    </row>
    <row r="49" spans="1:13" ht="13.5" thickBot="1">
      <c r="A49" s="220" t="str">
        <f>+C51</f>
        <v>LAND HELD FOR FUTURE USE</v>
      </c>
    </row>
    <row r="50" spans="1:13" ht="50.25" customHeight="1">
      <c r="A50" s="1547" t="s">
        <v>498</v>
      </c>
      <c r="B50" s="1548"/>
      <c r="C50" s="1548"/>
      <c r="D50" s="1548"/>
      <c r="E50" s="1548"/>
      <c r="F50" s="1549"/>
      <c r="G50" s="267" t="s">
        <v>141</v>
      </c>
      <c r="H50" s="236" t="s">
        <v>140</v>
      </c>
      <c r="I50" s="236" t="s">
        <v>236</v>
      </c>
      <c r="J50" s="1550" t="s">
        <v>110</v>
      </c>
      <c r="K50" s="1551"/>
      <c r="L50" s="1551"/>
      <c r="M50" s="1552"/>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62" t="s">
        <v>1020</v>
      </c>
      <c r="D53" s="205"/>
      <c r="E53" s="205"/>
      <c r="F53" s="431" t="s">
        <v>111</v>
      </c>
      <c r="G53" s="261">
        <v>0</v>
      </c>
      <c r="H53" s="260">
        <v>0</v>
      </c>
      <c r="I53" s="295">
        <f>+(G53+H53)/2</f>
        <v>0</v>
      </c>
      <c r="J53" s="1545"/>
      <c r="K53" s="1545"/>
      <c r="L53" s="1545"/>
      <c r="M53" s="1546"/>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47"/>
      <c r="B57" s="1548"/>
      <c r="C57" s="1548"/>
      <c r="D57" s="1548"/>
      <c r="E57" s="1548"/>
      <c r="F57" s="1548"/>
      <c r="G57" s="236"/>
      <c r="H57" s="236"/>
      <c r="I57" s="236"/>
      <c r="J57" s="1550"/>
      <c r="K57" s="1553"/>
      <c r="L57" s="1553"/>
      <c r="M57" s="1554"/>
    </row>
    <row r="58" spans="1:13" ht="25.5">
      <c r="A58" s="235">
        <f>+A51+1</f>
        <v>127</v>
      </c>
      <c r="B58" s="276"/>
      <c r="C58" s="232" t="s">
        <v>322</v>
      </c>
      <c r="D58" s="232"/>
      <c r="E58" s="661" t="s">
        <v>18</v>
      </c>
      <c r="F58" s="661" t="s">
        <v>328</v>
      </c>
      <c r="G58" s="212" t="s">
        <v>327</v>
      </c>
      <c r="H58" s="229" t="s">
        <v>329</v>
      </c>
      <c r="I58" s="229"/>
      <c r="J58" s="1555"/>
      <c r="K58" s="1556"/>
      <c r="L58" s="1556"/>
      <c r="M58" s="1557"/>
    </row>
    <row r="59" spans="1:13" ht="15">
      <c r="A59" s="235"/>
      <c r="B59" s="390"/>
      <c r="C59" s="391"/>
      <c r="D59" s="708" t="s">
        <v>323</v>
      </c>
      <c r="E59" s="710">
        <v>0</v>
      </c>
      <c r="F59" s="672">
        <v>0</v>
      </c>
      <c r="G59" s="672"/>
      <c r="H59" s="664">
        <f>+G59*F59*E59</f>
        <v>0</v>
      </c>
      <c r="I59" s="391"/>
      <c r="J59" s="390"/>
      <c r="K59" s="391"/>
      <c r="L59" s="391"/>
      <c r="M59" s="395"/>
    </row>
    <row r="60" spans="1:13" ht="15">
      <c r="A60" s="235"/>
      <c r="B60" s="390"/>
      <c r="C60" s="665"/>
      <c r="D60" s="708" t="s">
        <v>324</v>
      </c>
      <c r="E60" s="674">
        <v>0</v>
      </c>
      <c r="F60" s="672">
        <v>0</v>
      </c>
      <c r="G60" s="672"/>
      <c r="H60" s="664">
        <f>+G60*F60*E60</f>
        <v>0</v>
      </c>
      <c r="I60" s="391"/>
      <c r="J60" s="390"/>
      <c r="K60" s="391"/>
      <c r="L60" s="391"/>
      <c r="M60" s="395"/>
    </row>
    <row r="61" spans="1:13" ht="15">
      <c r="A61" s="235"/>
      <c r="B61" s="390"/>
      <c r="C61" s="665"/>
      <c r="D61" s="708" t="s">
        <v>325</v>
      </c>
      <c r="E61" s="674"/>
      <c r="F61" s="672"/>
      <c r="G61" s="672"/>
      <c r="H61" s="664"/>
      <c r="I61" s="391"/>
      <c r="J61" s="390"/>
      <c r="K61" s="391"/>
      <c r="L61" s="391"/>
      <c r="M61" s="395"/>
    </row>
    <row r="62" spans="1:13" ht="15">
      <c r="A62" s="235"/>
      <c r="B62" s="390"/>
      <c r="C62" s="665"/>
      <c r="D62" s="708" t="s">
        <v>381</v>
      </c>
      <c r="E62" s="674"/>
      <c r="F62" s="672"/>
      <c r="G62" s="672"/>
      <c r="H62" s="664"/>
      <c r="I62" s="391"/>
      <c r="J62" s="390"/>
      <c r="K62" s="391"/>
      <c r="L62" s="391"/>
      <c r="M62" s="395"/>
    </row>
    <row r="63" spans="1:13" ht="15">
      <c r="A63" s="235"/>
      <c r="B63" s="390"/>
      <c r="C63" s="665"/>
      <c r="D63" s="708" t="s">
        <v>382</v>
      </c>
      <c r="E63" s="674"/>
      <c r="F63" s="672"/>
      <c r="G63" s="672"/>
      <c r="H63" s="664"/>
      <c r="I63" s="391"/>
      <c r="J63" s="390"/>
      <c r="K63" s="391"/>
      <c r="L63" s="391"/>
      <c r="M63" s="395"/>
    </row>
    <row r="64" spans="1:13" ht="15">
      <c r="A64" s="235"/>
      <c r="B64" s="390"/>
      <c r="C64" s="665"/>
      <c r="D64" s="709" t="s">
        <v>382</v>
      </c>
      <c r="E64" s="711">
        <v>0</v>
      </c>
      <c r="F64" s="712">
        <v>0</v>
      </c>
      <c r="G64" s="672"/>
      <c r="H64" s="664">
        <f>+G64*F64*E64</f>
        <v>0</v>
      </c>
      <c r="I64" s="391"/>
      <c r="J64" s="390"/>
      <c r="K64" s="391"/>
      <c r="L64" s="391"/>
      <c r="M64" s="395"/>
    </row>
    <row r="65" spans="1:13" ht="15">
      <c r="A65" s="235"/>
      <c r="B65" s="390"/>
      <c r="C65" s="665"/>
      <c r="D65" s="232" t="s">
        <v>21</v>
      </c>
      <c r="E65" s="666">
        <f>SUM(E59:E64)</f>
        <v>0</v>
      </c>
      <c r="F65" s="662"/>
      <c r="G65" s="663"/>
      <c r="H65" s="664">
        <f>SUM(H59:H64)</f>
        <v>0</v>
      </c>
      <c r="I65" s="391"/>
      <c r="J65" s="390"/>
      <c r="K65" s="391"/>
      <c r="L65" s="391"/>
      <c r="M65" s="395"/>
    </row>
    <row r="66" spans="1:13" ht="15">
      <c r="A66" s="235"/>
      <c r="B66" s="390"/>
      <c r="C66" s="665"/>
      <c r="D66" s="232"/>
      <c r="E66" s="229"/>
      <c r="F66" s="394"/>
      <c r="G66" s="663"/>
      <c r="H66" s="664"/>
      <c r="I66" s="391"/>
      <c r="J66" s="390"/>
      <c r="K66" s="391"/>
      <c r="L66" s="391"/>
      <c r="M66" s="395"/>
    </row>
    <row r="67" spans="1:13" ht="15.75">
      <c r="A67" s="235"/>
      <c r="B67" s="390"/>
      <c r="C67" s="667" t="s">
        <v>363</v>
      </c>
      <c r="D67" s="668"/>
      <c r="E67" s="387"/>
      <c r="F67" s="669"/>
      <c r="G67" s="670"/>
      <c r="H67" s="671"/>
      <c r="I67" s="391"/>
      <c r="J67" s="390"/>
      <c r="K67" s="391"/>
      <c r="L67" s="391"/>
      <c r="M67" s="395"/>
    </row>
    <row r="68" spans="1:13" ht="15.75">
      <c r="A68" s="235"/>
      <c r="B68" s="390"/>
      <c r="C68" s="667" t="s">
        <v>380</v>
      </c>
      <c r="D68" s="668"/>
      <c r="E68" s="387"/>
      <c r="F68" s="669"/>
      <c r="G68" s="670"/>
      <c r="H68" s="671"/>
      <c r="I68" s="391"/>
      <c r="J68" s="390"/>
      <c r="K68" s="391"/>
      <c r="L68" s="391"/>
      <c r="M68" s="395"/>
    </row>
    <row r="69" spans="1:13" ht="15.75">
      <c r="A69" s="235"/>
      <c r="B69" s="390"/>
      <c r="C69" s="667" t="s">
        <v>364</v>
      </c>
      <c r="D69" s="668"/>
      <c r="E69" s="387"/>
      <c r="F69" s="669"/>
      <c r="G69" s="670"/>
      <c r="H69" s="671"/>
      <c r="I69" s="391"/>
      <c r="J69" s="390"/>
      <c r="K69" s="391"/>
      <c r="L69" s="391"/>
      <c r="M69" s="395"/>
    </row>
    <row r="70" spans="1:13" ht="15.75">
      <c r="A70" s="235"/>
      <c r="B70" s="390"/>
      <c r="C70" s="667" t="s">
        <v>1019</v>
      </c>
      <c r="D70" s="668"/>
      <c r="E70" s="387"/>
      <c r="F70" s="669"/>
      <c r="G70" s="670"/>
      <c r="H70" s="671"/>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5" t="s">
        <v>129</v>
      </c>
      <c r="B72" s="606"/>
      <c r="C72" s="606"/>
      <c r="D72" s="606"/>
      <c r="E72" s="606"/>
      <c r="F72" s="606"/>
      <c r="G72" s="606"/>
      <c r="H72" s="606"/>
      <c r="I72" s="606"/>
      <c r="J72" s="606"/>
      <c r="K72" s="606"/>
      <c r="L72" s="606"/>
      <c r="M72" s="607"/>
    </row>
    <row r="73" spans="1:13">
      <c r="A73" s="1558" t="s">
        <v>498</v>
      </c>
      <c r="B73" s="1559"/>
      <c r="C73" s="1559"/>
      <c r="D73" s="1559"/>
      <c r="E73" s="1559"/>
      <c r="F73" s="1559"/>
      <c r="G73" s="602"/>
      <c r="H73" s="602"/>
      <c r="I73" s="602"/>
      <c r="J73" s="1560" t="s">
        <v>110</v>
      </c>
      <c r="K73" s="1534"/>
      <c r="L73" s="1534"/>
      <c r="M73" s="1561"/>
    </row>
    <row r="74" spans="1:13">
      <c r="A74" s="235"/>
      <c r="B74" s="276" t="s">
        <v>127</v>
      </c>
      <c r="C74" s="232"/>
      <c r="D74" s="232"/>
      <c r="E74" s="293"/>
      <c r="F74" s="232"/>
      <c r="G74" s="208"/>
      <c r="H74" s="208"/>
      <c r="I74" s="208"/>
      <c r="J74" s="1555"/>
      <c r="K74" s="1556"/>
      <c r="L74" s="1556"/>
      <c r="M74" s="1557"/>
    </row>
    <row r="75" spans="1:13" ht="15">
      <c r="A75" s="235"/>
      <c r="B75" s="390"/>
      <c r="C75" s="391"/>
      <c r="D75" s="392" t="s">
        <v>8</v>
      </c>
      <c r="E75" s="393" t="s">
        <v>128</v>
      </c>
      <c r="F75" s="230"/>
      <c r="G75" s="230" t="s">
        <v>965</v>
      </c>
      <c r="H75" s="212"/>
      <c r="I75" s="391"/>
      <c r="J75" s="390"/>
      <c r="K75" s="391"/>
      <c r="L75" s="391"/>
      <c r="M75" s="395"/>
    </row>
    <row r="76" spans="1:13" ht="15">
      <c r="A76" s="235">
        <f>+A58+1</f>
        <v>128</v>
      </c>
      <c r="B76" s="390"/>
      <c r="C76" s="226" t="s">
        <v>1005</v>
      </c>
      <c r="D76" s="391"/>
      <c r="E76" s="226" t="s">
        <v>448</v>
      </c>
      <c r="F76" s="226"/>
      <c r="G76" s="617"/>
      <c r="H76" s="603"/>
      <c r="I76" s="391"/>
      <c r="J76" s="390"/>
      <c r="K76" s="391"/>
      <c r="L76" s="391"/>
      <c r="M76" s="395"/>
    </row>
    <row r="77" spans="1:13" ht="15">
      <c r="A77" s="235"/>
      <c r="B77" s="390"/>
      <c r="C77" s="414"/>
      <c r="D77" s="391"/>
      <c r="E77" s="414"/>
      <c r="F77" s="226"/>
      <c r="G77" s="427"/>
      <c r="H77" s="603"/>
      <c r="I77" s="391"/>
      <c r="J77" s="390"/>
      <c r="K77" s="391"/>
      <c r="L77" s="391"/>
      <c r="M77" s="395"/>
    </row>
    <row r="78" spans="1:13" ht="15">
      <c r="A78" s="235" t="s">
        <v>1006</v>
      </c>
      <c r="B78" s="391"/>
      <c r="C78" s="613" t="s">
        <v>1007</v>
      </c>
      <c r="D78" s="229"/>
      <c r="E78" s="229"/>
      <c r="F78" s="229"/>
      <c r="G78" s="719"/>
      <c r="H78" s="229"/>
      <c r="I78" s="391"/>
      <c r="J78" s="391"/>
      <c r="K78" s="391"/>
      <c r="L78" s="391"/>
      <c r="M78" s="395"/>
    </row>
    <row r="79" spans="1:13" ht="15">
      <c r="A79" s="235"/>
      <c r="B79" s="391"/>
      <c r="C79" s="1431"/>
      <c r="D79" s="229"/>
      <c r="E79" s="229"/>
      <c r="F79" s="229"/>
      <c r="G79" s="719"/>
      <c r="H79" s="229"/>
      <c r="I79" s="391"/>
      <c r="J79" s="391"/>
      <c r="K79" s="391"/>
      <c r="L79" s="391"/>
      <c r="M79" s="395"/>
    </row>
    <row r="80" spans="1:13" ht="15">
      <c r="A80" s="235"/>
      <c r="B80" s="391"/>
      <c r="C80" s="1431"/>
      <c r="D80" s="229"/>
      <c r="E80" s="229"/>
      <c r="F80" s="229"/>
      <c r="G80" s="719"/>
      <c r="H80" s="229"/>
      <c r="I80" s="391"/>
      <c r="J80" s="391"/>
      <c r="K80" s="391"/>
      <c r="L80" s="391"/>
      <c r="M80" s="395"/>
    </row>
    <row r="81" spans="1:13" ht="15">
      <c r="A81" s="235"/>
      <c r="B81" s="391"/>
      <c r="C81" s="1431"/>
      <c r="D81" s="229"/>
      <c r="E81" s="229"/>
      <c r="F81" s="229"/>
      <c r="G81" s="719"/>
      <c r="H81" s="229"/>
      <c r="I81" s="391"/>
      <c r="J81" s="391"/>
      <c r="K81" s="391"/>
      <c r="L81" s="391"/>
      <c r="M81" s="395"/>
    </row>
    <row r="82" spans="1:13" ht="15">
      <c r="A82" s="235"/>
      <c r="B82" s="391"/>
      <c r="C82" s="1431"/>
      <c r="D82" s="229"/>
      <c r="E82" s="229"/>
      <c r="F82" s="229"/>
      <c r="G82" s="719"/>
      <c r="H82" s="229"/>
      <c r="I82" s="391"/>
      <c r="J82" s="391"/>
      <c r="K82" s="391"/>
      <c r="L82" s="391"/>
      <c r="M82" s="395"/>
    </row>
    <row r="83" spans="1:13" ht="15.75" thickBot="1">
      <c r="A83" s="206"/>
      <c r="B83" s="205"/>
      <c r="C83" s="614"/>
      <c r="D83" s="221"/>
      <c r="E83" s="221"/>
      <c r="F83" s="221"/>
      <c r="G83" s="221"/>
      <c r="H83" s="221"/>
      <c r="I83" s="221"/>
      <c r="J83" s="221"/>
      <c r="K83" s="205"/>
      <c r="L83" s="205"/>
      <c r="M83" s="204"/>
    </row>
    <row r="84" spans="1:13" s="188" customFormat="1" ht="15">
      <c r="A84" s="265"/>
      <c r="C84" s="604"/>
    </row>
    <row r="85" spans="1:13" s="608" customFormat="1" ht="13.5" thickBot="1">
      <c r="A85" s="611" t="s">
        <v>126</v>
      </c>
      <c r="B85" s="612"/>
      <c r="C85" s="612"/>
      <c r="D85" s="612"/>
      <c r="E85" s="612"/>
      <c r="F85" s="612"/>
      <c r="G85" s="612"/>
      <c r="H85" s="612"/>
      <c r="I85" s="612"/>
      <c r="J85" s="612"/>
      <c r="K85" s="612"/>
      <c r="L85" s="612"/>
      <c r="M85" s="612"/>
    </row>
    <row r="86" spans="1:13" s="608" customFormat="1" ht="25.5">
      <c r="A86" s="1562" t="s">
        <v>498</v>
      </c>
      <c r="B86" s="1563"/>
      <c r="C86" s="1563"/>
      <c r="D86" s="1563"/>
      <c r="E86" s="1563"/>
      <c r="F86" s="1563"/>
      <c r="G86" s="609" t="s">
        <v>118</v>
      </c>
      <c r="H86" s="313" t="s">
        <v>111</v>
      </c>
      <c r="I86" s="313" t="s">
        <v>125</v>
      </c>
      <c r="J86" s="1564" t="s">
        <v>368</v>
      </c>
      <c r="K86" s="1565"/>
      <c r="L86" s="1565"/>
      <c r="M86" s="1566"/>
    </row>
    <row r="87" spans="1:13" s="608" customFormat="1">
      <c r="A87" s="235"/>
      <c r="B87" s="276" t="s">
        <v>116</v>
      </c>
      <c r="C87" s="246"/>
      <c r="D87" s="232"/>
      <c r="E87" s="255"/>
      <c r="F87" s="246"/>
      <c r="G87" s="187"/>
      <c r="H87" s="610"/>
      <c r="I87" s="272"/>
      <c r="J87" s="229"/>
      <c r="K87" s="229"/>
      <c r="L87" s="229"/>
      <c r="M87" s="228"/>
    </row>
    <row r="88" spans="1:13" s="608" customFormat="1" ht="15">
      <c r="A88" s="235"/>
      <c r="B88" s="276"/>
      <c r="C88" s="246"/>
      <c r="D88" s="232"/>
      <c r="E88" s="255"/>
      <c r="F88" s="246"/>
      <c r="G88" s="187"/>
      <c r="H88" s="610"/>
      <c r="I88" s="272"/>
      <c r="J88" s="620"/>
      <c r="K88" s="229"/>
      <c r="L88" s="229"/>
      <c r="M88" s="228"/>
    </row>
    <row r="89" spans="1:13" s="608" customFormat="1">
      <c r="A89" s="235">
        <f>+A76+1</f>
        <v>129</v>
      </c>
      <c r="B89" s="621"/>
      <c r="C89" s="226" t="s">
        <v>192</v>
      </c>
      <c r="D89" s="622"/>
      <c r="E89" s="269"/>
      <c r="F89" s="226" t="s">
        <v>271</v>
      </c>
      <c r="G89" s="624"/>
      <c r="H89" s="623"/>
      <c r="I89" s="233">
        <f>+G89-H89</f>
        <v>0</v>
      </c>
      <c r="J89" s="229"/>
      <c r="K89" s="229"/>
      <c r="L89" s="229"/>
      <c r="M89" s="228"/>
    </row>
    <row r="90" spans="1:13" s="608" customFormat="1">
      <c r="A90" s="235"/>
      <c r="B90" s="276"/>
      <c r="C90" s="246"/>
      <c r="D90" s="232"/>
      <c r="E90" s="255"/>
      <c r="F90" s="246"/>
      <c r="G90" s="187"/>
      <c r="H90" s="610"/>
      <c r="I90" s="272"/>
      <c r="J90" s="229"/>
      <c r="K90" s="229"/>
      <c r="L90" s="229"/>
      <c r="M90" s="228"/>
    </row>
    <row r="91" spans="1:13" s="608" customFormat="1" ht="13.5" thickBot="1">
      <c r="A91" s="222"/>
      <c r="B91" s="221"/>
      <c r="C91" s="221"/>
      <c r="D91" s="221"/>
      <c r="E91" s="221"/>
      <c r="F91" s="221"/>
      <c r="G91" s="222" t="s">
        <v>369</v>
      </c>
      <c r="H91" s="221"/>
      <c r="I91" s="221"/>
      <c r="J91" s="1545"/>
      <c r="K91" s="1545"/>
      <c r="L91" s="1545"/>
      <c r="M91" s="1546"/>
    </row>
    <row r="94" spans="1:13" ht="13.5" thickBot="1">
      <c r="A94" s="220" t="s">
        <v>234</v>
      </c>
    </row>
    <row r="95" spans="1:13">
      <c r="A95" s="1547" t="s">
        <v>498</v>
      </c>
      <c r="B95" s="1548"/>
      <c r="C95" s="1548"/>
      <c r="D95" s="1548"/>
      <c r="E95" s="1548"/>
      <c r="F95" s="1549"/>
      <c r="G95" s="236" t="s">
        <v>124</v>
      </c>
      <c r="H95" s="236" t="s">
        <v>123</v>
      </c>
      <c r="I95" s="236" t="s">
        <v>122</v>
      </c>
      <c r="J95" s="236" t="s">
        <v>121</v>
      </c>
      <c r="K95" s="236" t="s">
        <v>120</v>
      </c>
      <c r="L95" s="1550" t="s">
        <v>237</v>
      </c>
      <c r="M95" s="1567"/>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3"/>
      <c r="H97" s="285"/>
      <c r="I97" s="285"/>
      <c r="J97" s="285"/>
      <c r="K97" s="285"/>
      <c r="L97" s="272"/>
      <c r="M97" s="284"/>
    </row>
    <row r="98" spans="1:13">
      <c r="A98" s="288">
        <f>+A89+1</f>
        <v>130</v>
      </c>
      <c r="B98" s="287"/>
      <c r="C98" s="446" t="s">
        <v>137</v>
      </c>
      <c r="D98" s="213"/>
      <c r="E98" s="214"/>
      <c r="F98" s="286"/>
      <c r="G98" s="1505">
        <v>8.8400000000000006E-2</v>
      </c>
      <c r="H98" s="447"/>
      <c r="I98" s="448"/>
      <c r="J98" s="448"/>
      <c r="K98" s="433"/>
      <c r="L98" s="854">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6" t="s">
        <v>367</v>
      </c>
      <c r="B101" s="409"/>
      <c r="C101" s="409"/>
      <c r="D101" s="409"/>
      <c r="E101" s="409"/>
      <c r="F101" s="409"/>
      <c r="G101" s="409"/>
      <c r="H101" s="409"/>
      <c r="I101" s="409"/>
      <c r="J101" s="409"/>
      <c r="K101" s="409"/>
      <c r="L101" s="409"/>
      <c r="M101" s="409"/>
    </row>
    <row r="102" spans="1:13" ht="78.75" customHeight="1">
      <c r="A102" s="1575" t="s">
        <v>498</v>
      </c>
      <c r="B102" s="1576"/>
      <c r="C102" s="1576"/>
      <c r="D102" s="1576"/>
      <c r="E102" s="1576"/>
      <c r="F102" s="1577"/>
      <c r="G102" s="396" t="s">
        <v>118</v>
      </c>
      <c r="H102" s="397" t="s">
        <v>366</v>
      </c>
      <c r="I102" s="397" t="s">
        <v>117</v>
      </c>
      <c r="J102" s="1578" t="s">
        <v>110</v>
      </c>
      <c r="K102" s="1578"/>
      <c r="L102" s="1578"/>
      <c r="M102" s="1579"/>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8"/>
      <c r="H104" s="619"/>
      <c r="I104" s="410">
        <f>G104-H104</f>
        <v>0</v>
      </c>
      <c r="J104" s="1580"/>
      <c r="K104" s="1580"/>
      <c r="L104" s="1580"/>
      <c r="M104" s="1581"/>
    </row>
    <row r="106" spans="1:13" ht="13.5" thickBot="1">
      <c r="A106" s="220" t="s">
        <v>115</v>
      </c>
    </row>
    <row r="107" spans="1:13" ht="38.25">
      <c r="A107" s="1547" t="s">
        <v>498</v>
      </c>
      <c r="B107" s="1548"/>
      <c r="C107" s="1548"/>
      <c r="D107" s="1548"/>
      <c r="E107" s="1548"/>
      <c r="F107" s="1548"/>
      <c r="G107" s="267" t="str">
        <f>+C109</f>
        <v>Excluded Transmission Facilities</v>
      </c>
      <c r="H107" s="1550" t="s">
        <v>114</v>
      </c>
      <c r="I107" s="1582"/>
      <c r="J107" s="1582"/>
      <c r="K107" s="1582"/>
      <c r="L107" s="1582"/>
      <c r="M107" s="1583"/>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67">
        <v>0</v>
      </c>
      <c r="H109" s="1555" t="s">
        <v>112</v>
      </c>
      <c r="I109" s="1556"/>
      <c r="J109" s="1556"/>
      <c r="K109" s="1556"/>
      <c r="L109" s="1556"/>
      <c r="M109" s="1557"/>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498</v>
      </c>
      <c r="B115" s="816"/>
      <c r="C115" s="816"/>
      <c r="D115" s="258"/>
      <c r="E115" s="258"/>
      <c r="F115" s="258"/>
      <c r="G115" s="817"/>
      <c r="H115" s="817"/>
      <c r="I115" s="817"/>
      <c r="J115" s="817"/>
      <c r="K115" s="817"/>
      <c r="L115" s="817"/>
      <c r="M115" s="818"/>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476</v>
      </c>
      <c r="D117" s="229"/>
      <c r="E117" s="590" t="s">
        <v>139</v>
      </c>
      <c r="F117" s="590" t="s">
        <v>195</v>
      </c>
      <c r="G117" s="590" t="s">
        <v>469</v>
      </c>
      <c r="H117" s="590" t="s">
        <v>21</v>
      </c>
      <c r="I117" s="202"/>
      <c r="J117" s="250"/>
      <c r="K117" s="247"/>
      <c r="L117" s="814"/>
      <c r="M117" s="815"/>
    </row>
    <row r="118" spans="1:13" ht="17.25" customHeight="1">
      <c r="A118" s="235"/>
      <c r="B118" s="234"/>
      <c r="C118" s="208" t="s">
        <v>475</v>
      </c>
      <c r="D118" s="208"/>
      <c r="E118" s="825" t="s">
        <v>472</v>
      </c>
      <c r="F118" s="825" t="s">
        <v>473</v>
      </c>
      <c r="G118" s="825" t="s">
        <v>474</v>
      </c>
      <c r="H118" s="208"/>
      <c r="I118" s="202"/>
      <c r="J118" s="250"/>
      <c r="K118" s="247"/>
      <c r="L118" s="246"/>
      <c r="M118" s="245"/>
    </row>
    <row r="119" spans="1:13" ht="17.25" customHeight="1">
      <c r="A119" s="235">
        <f>+A109+1</f>
        <v>133</v>
      </c>
      <c r="B119" s="234"/>
      <c r="C119" s="208" t="s">
        <v>146</v>
      </c>
      <c r="D119" s="208" t="s">
        <v>470</v>
      </c>
      <c r="E119" s="822">
        <v>0</v>
      </c>
      <c r="F119" s="1207">
        <v>0</v>
      </c>
      <c r="G119" s="1207">
        <v>0</v>
      </c>
      <c r="H119" s="673">
        <f>+E119+F119+G119</f>
        <v>0</v>
      </c>
      <c r="I119" s="208"/>
      <c r="J119" s="250"/>
      <c r="K119" s="247"/>
      <c r="L119" s="246"/>
      <c r="M119" s="245"/>
    </row>
    <row r="120" spans="1:13" ht="17.25" customHeight="1">
      <c r="A120" s="235">
        <f>+A119+1</f>
        <v>134</v>
      </c>
      <c r="B120" s="234"/>
      <c r="C120" s="246" t="s">
        <v>156</v>
      </c>
      <c r="D120" s="208"/>
      <c r="E120" s="596">
        <v>0</v>
      </c>
      <c r="F120" s="1189">
        <v>0</v>
      </c>
      <c r="G120" s="1189">
        <v>0</v>
      </c>
      <c r="H120" s="673">
        <f t="shared" ref="H120:H131" si="3">+E120+F120+G120</f>
        <v>0</v>
      </c>
      <c r="I120" s="202"/>
      <c r="J120" s="250"/>
      <c r="K120" s="247"/>
      <c r="L120" s="246"/>
      <c r="M120" s="245"/>
    </row>
    <row r="121" spans="1:13" ht="17.25" customHeight="1">
      <c r="A121" s="235">
        <f t="shared" ref="A121:A131" si="4">+A120+1</f>
        <v>135</v>
      </c>
      <c r="B121" s="234"/>
      <c r="C121" s="226" t="s">
        <v>155</v>
      </c>
      <c r="D121" s="208"/>
      <c r="E121" s="596">
        <v>0</v>
      </c>
      <c r="F121" s="1189">
        <v>0</v>
      </c>
      <c r="G121" s="1189">
        <v>0</v>
      </c>
      <c r="H121" s="673">
        <f t="shared" si="3"/>
        <v>0</v>
      </c>
      <c r="I121" s="202"/>
      <c r="J121" s="250"/>
      <c r="K121" s="247"/>
      <c r="L121" s="246"/>
      <c r="M121" s="245"/>
    </row>
    <row r="122" spans="1:13" ht="17.25" customHeight="1">
      <c r="A122" s="235">
        <f t="shared" si="4"/>
        <v>136</v>
      </c>
      <c r="B122" s="234"/>
      <c r="C122" s="226" t="s">
        <v>154</v>
      </c>
      <c r="D122" s="208"/>
      <c r="E122" s="596">
        <v>0</v>
      </c>
      <c r="F122" s="1189">
        <v>0</v>
      </c>
      <c r="G122" s="1189">
        <v>0</v>
      </c>
      <c r="H122" s="673">
        <f t="shared" si="3"/>
        <v>0</v>
      </c>
      <c r="I122" s="202"/>
      <c r="J122" s="250"/>
      <c r="K122" s="247"/>
      <c r="L122" s="246"/>
      <c r="M122" s="245"/>
    </row>
    <row r="123" spans="1:13" ht="17.25" customHeight="1">
      <c r="A123" s="235">
        <f t="shared" si="4"/>
        <v>137</v>
      </c>
      <c r="B123" s="234"/>
      <c r="C123" s="246" t="s">
        <v>134</v>
      </c>
      <c r="D123" s="208"/>
      <c r="E123" s="596">
        <v>0</v>
      </c>
      <c r="F123" s="1189">
        <v>0</v>
      </c>
      <c r="G123" s="1189">
        <v>0</v>
      </c>
      <c r="H123" s="673">
        <f t="shared" si="3"/>
        <v>0</v>
      </c>
      <c r="I123" s="202"/>
      <c r="J123" s="250"/>
      <c r="K123" s="247"/>
      <c r="L123" s="246"/>
      <c r="M123" s="245"/>
    </row>
    <row r="124" spans="1:13" ht="17.25" customHeight="1">
      <c r="A124" s="235">
        <f t="shared" si="4"/>
        <v>138</v>
      </c>
      <c r="B124" s="234"/>
      <c r="C124" s="226" t="s">
        <v>131</v>
      </c>
      <c r="D124" s="208"/>
      <c r="E124" s="596">
        <v>0</v>
      </c>
      <c r="F124" s="1189">
        <v>0</v>
      </c>
      <c r="G124" s="1189">
        <v>0</v>
      </c>
      <c r="H124" s="673">
        <f t="shared" si="3"/>
        <v>0</v>
      </c>
      <c r="I124" s="202"/>
      <c r="J124" s="250"/>
      <c r="K124" s="247"/>
      <c r="L124" s="246"/>
      <c r="M124" s="245"/>
    </row>
    <row r="125" spans="1:13" ht="17.25" customHeight="1">
      <c r="A125" s="235">
        <f t="shared" si="4"/>
        <v>139</v>
      </c>
      <c r="B125" s="234"/>
      <c r="C125" s="226" t="s">
        <v>153</v>
      </c>
      <c r="D125" s="208"/>
      <c r="E125" s="596">
        <v>0</v>
      </c>
      <c r="F125" s="1189">
        <v>0</v>
      </c>
      <c r="G125" s="1189">
        <v>0</v>
      </c>
      <c r="H125" s="673">
        <f t="shared" si="3"/>
        <v>0</v>
      </c>
      <c r="I125" s="202"/>
      <c r="J125" s="250"/>
      <c r="K125" s="247"/>
      <c r="L125" s="246"/>
      <c r="M125" s="245"/>
    </row>
    <row r="126" spans="1:13" ht="17.25" customHeight="1">
      <c r="A126" s="235">
        <f t="shared" si="4"/>
        <v>140</v>
      </c>
      <c r="B126" s="234"/>
      <c r="C126" s="246" t="s">
        <v>152</v>
      </c>
      <c r="D126" s="208"/>
      <c r="E126" s="596">
        <v>0</v>
      </c>
      <c r="F126" s="1189">
        <v>0</v>
      </c>
      <c r="G126" s="1189">
        <v>0</v>
      </c>
      <c r="H126" s="673">
        <f t="shared" si="3"/>
        <v>0</v>
      </c>
      <c r="I126" s="202"/>
      <c r="J126" s="250"/>
      <c r="K126" s="247"/>
      <c r="L126" s="246"/>
      <c r="M126" s="245"/>
    </row>
    <row r="127" spans="1:13" ht="17.25" customHeight="1">
      <c r="A127" s="235">
        <f t="shared" si="4"/>
        <v>141</v>
      </c>
      <c r="B127" s="234"/>
      <c r="C127" s="226" t="s">
        <v>151</v>
      </c>
      <c r="D127" s="208"/>
      <c r="E127" s="596">
        <v>0</v>
      </c>
      <c r="F127" s="1189">
        <v>0</v>
      </c>
      <c r="G127" s="1189">
        <v>0</v>
      </c>
      <c r="H127" s="673">
        <f t="shared" si="3"/>
        <v>0</v>
      </c>
      <c r="I127" s="202"/>
      <c r="J127" s="250"/>
      <c r="K127" s="247"/>
      <c r="L127" s="246"/>
      <c r="M127" s="245"/>
    </row>
    <row r="128" spans="1:13" ht="17.25" customHeight="1">
      <c r="A128" s="235">
        <f t="shared" si="4"/>
        <v>142</v>
      </c>
      <c r="B128" s="234"/>
      <c r="C128" s="226" t="s">
        <v>150</v>
      </c>
      <c r="D128" s="208"/>
      <c r="E128" s="596">
        <v>0</v>
      </c>
      <c r="F128" s="1189">
        <v>0</v>
      </c>
      <c r="G128" s="1189">
        <v>0</v>
      </c>
      <c r="H128" s="673">
        <f t="shared" si="3"/>
        <v>0</v>
      </c>
      <c r="I128" s="202"/>
      <c r="J128" s="250"/>
      <c r="K128" s="247"/>
      <c r="L128" s="246"/>
      <c r="M128" s="245"/>
    </row>
    <row r="129" spans="1:13">
      <c r="A129" s="235">
        <f t="shared" si="4"/>
        <v>143</v>
      </c>
      <c r="B129" s="234"/>
      <c r="C129" s="246" t="s">
        <v>149</v>
      </c>
      <c r="D129" s="208"/>
      <c r="E129" s="596">
        <v>0</v>
      </c>
      <c r="F129" s="1189">
        <v>0</v>
      </c>
      <c r="G129" s="1189">
        <v>0</v>
      </c>
      <c r="H129" s="673">
        <f t="shared" si="3"/>
        <v>0</v>
      </c>
      <c r="I129" s="202"/>
      <c r="J129" s="250"/>
      <c r="K129" s="247"/>
      <c r="L129" s="246"/>
      <c r="M129" s="245"/>
    </row>
    <row r="130" spans="1:13" ht="17.25" customHeight="1">
      <c r="A130" s="235">
        <f t="shared" si="4"/>
        <v>144</v>
      </c>
      <c r="B130" s="234"/>
      <c r="C130" s="246" t="s">
        <v>148</v>
      </c>
      <c r="D130" s="208"/>
      <c r="E130" s="596">
        <v>0</v>
      </c>
      <c r="F130" s="1189">
        <v>0</v>
      </c>
      <c r="G130" s="1189">
        <v>0</v>
      </c>
      <c r="H130" s="673">
        <f t="shared" si="3"/>
        <v>0</v>
      </c>
      <c r="I130" s="202"/>
      <c r="J130" s="250"/>
      <c r="K130" s="247"/>
      <c r="L130" s="246"/>
      <c r="M130" s="245"/>
    </row>
    <row r="131" spans="1:13" ht="17.25" customHeight="1">
      <c r="A131" s="235">
        <f t="shared" si="4"/>
        <v>145</v>
      </c>
      <c r="B131" s="234"/>
      <c r="C131" s="226" t="s">
        <v>146</v>
      </c>
      <c r="D131" s="208" t="s">
        <v>471</v>
      </c>
      <c r="E131" s="596">
        <v>0</v>
      </c>
      <c r="F131" s="1189">
        <v>0</v>
      </c>
      <c r="G131" s="1189">
        <v>0</v>
      </c>
      <c r="H131" s="673">
        <f t="shared" si="3"/>
        <v>0</v>
      </c>
      <c r="I131" s="202"/>
      <c r="J131" s="250"/>
      <c r="K131" s="247"/>
      <c r="L131" s="229"/>
      <c r="M131" s="245"/>
    </row>
    <row r="132" spans="1:13" ht="17.25" customHeight="1">
      <c r="A132" s="235"/>
      <c r="B132" s="234"/>
      <c r="C132" s="226"/>
      <c r="D132" s="208"/>
      <c r="E132" s="598"/>
      <c r="F132" s="196"/>
      <c r="G132" s="196"/>
      <c r="H132" s="673"/>
      <c r="I132" s="202"/>
      <c r="J132" s="250"/>
      <c r="K132" s="247"/>
      <c r="L132" s="229"/>
      <c r="M132" s="245"/>
    </row>
    <row r="133" spans="1:13" ht="16.5" thickBot="1">
      <c r="A133" s="244">
        <f>+A131+1</f>
        <v>146</v>
      </c>
      <c r="B133" s="243"/>
      <c r="C133" s="824" t="s">
        <v>186</v>
      </c>
      <c r="D133" s="205"/>
      <c r="E133" s="1208"/>
      <c r="F133" s="1208"/>
      <c r="G133" s="205"/>
      <c r="H133" s="1209">
        <f>SUM(H119:H131)/13</f>
        <v>0</v>
      </c>
      <c r="I133" s="823"/>
      <c r="J133" s="756"/>
      <c r="K133" s="756"/>
      <c r="L133" s="819"/>
      <c r="M133" s="820"/>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498</v>
      </c>
      <c r="B136" s="816"/>
      <c r="C136" s="816"/>
      <c r="D136" s="258"/>
      <c r="E136" s="258"/>
      <c r="F136" s="258"/>
      <c r="G136" s="817"/>
      <c r="H136" s="817"/>
      <c r="I136" s="817"/>
      <c r="J136" s="817"/>
      <c r="K136" s="817"/>
      <c r="L136" s="817"/>
      <c r="M136" s="818"/>
    </row>
    <row r="137" spans="1:13">
      <c r="A137" s="187"/>
      <c r="B137" s="257"/>
      <c r="C137" s="256"/>
      <c r="D137" s="229"/>
      <c r="E137" s="719" t="s">
        <v>1092</v>
      </c>
      <c r="F137" s="719" t="s">
        <v>395</v>
      </c>
      <c r="G137" s="719" t="s">
        <v>395</v>
      </c>
      <c r="H137" s="254" t="s">
        <v>21</v>
      </c>
      <c r="I137" s="253"/>
      <c r="J137" s="232"/>
      <c r="K137" s="252"/>
      <c r="L137" s="232"/>
      <c r="M137" s="251"/>
    </row>
    <row r="138" spans="1:13">
      <c r="A138" s="231">
        <f>+A133+1</f>
        <v>147</v>
      </c>
      <c r="B138" s="229"/>
      <c r="C138" s="229" t="s">
        <v>232</v>
      </c>
      <c r="D138" s="229" t="s">
        <v>995</v>
      </c>
      <c r="E138" s="674">
        <v>1481452.9999999998</v>
      </c>
      <c r="F138" s="428">
        <v>0</v>
      </c>
      <c r="G138" s="428">
        <v>0</v>
      </c>
      <c r="H138" s="227">
        <f>SUM(E138:G138)</f>
        <v>1481452.9999999998</v>
      </c>
      <c r="I138" s="1194" t="s">
        <v>1008</v>
      </c>
      <c r="J138" s="1195"/>
      <c r="K138" s="352"/>
      <c r="L138" s="1196"/>
      <c r="M138" s="1197"/>
    </row>
    <row r="139" spans="1:13">
      <c r="A139" s="235">
        <f>+A138+1</f>
        <v>148</v>
      </c>
      <c r="B139" s="234"/>
      <c r="C139" s="229" t="s">
        <v>293</v>
      </c>
      <c r="D139" s="232" t="str">
        <f>+D138</f>
        <v>Attachment 11</v>
      </c>
      <c r="E139" s="428">
        <f>47.9862947441553-12</f>
        <v>35.986294744155302</v>
      </c>
      <c r="F139" s="428">
        <v>0</v>
      </c>
      <c r="G139" s="428">
        <v>0</v>
      </c>
      <c r="H139" s="227"/>
      <c r="I139" s="1194" t="str">
        <f>+I138</f>
        <v>Pursuant to Attachment 11</v>
      </c>
      <c r="J139" s="1198"/>
      <c r="K139" s="352"/>
      <c r="L139" s="1199"/>
      <c r="M139" s="1200"/>
    </row>
    <row r="140" spans="1:13" ht="40.5" customHeight="1">
      <c r="A140" s="235">
        <f>+A139+1</f>
        <v>149</v>
      </c>
      <c r="B140" s="234"/>
      <c r="C140" s="232" t="s">
        <v>297</v>
      </c>
      <c r="D140" s="229" t="str">
        <f>"(line "&amp;A138&amp;" / line "&amp;A139&amp;")"</f>
        <v>(line 147 / line 148)</v>
      </c>
      <c r="E140" s="666">
        <f>+(E138/E139)-16</f>
        <v>41151.144618038488</v>
      </c>
      <c r="F140" s="666">
        <f>IF(F139=0,0,F138/F139)</f>
        <v>0</v>
      </c>
      <c r="G140" s="666">
        <f>IF(G139=0,0,G138/G139)</f>
        <v>0</v>
      </c>
      <c r="H140" s="227">
        <f>SUM(E140:G140)</f>
        <v>41151.144618038488</v>
      </c>
      <c r="I140" s="1573" t="s">
        <v>996</v>
      </c>
      <c r="J140" s="1573"/>
      <c r="K140" s="1573"/>
      <c r="L140" s="1573"/>
      <c r="M140" s="1574"/>
    </row>
    <row r="141" spans="1:13">
      <c r="A141" s="235">
        <f>+A140+1</f>
        <v>150</v>
      </c>
      <c r="B141" s="234"/>
      <c r="C141" s="229" t="s">
        <v>231</v>
      </c>
      <c r="D141" s="232" t="str">
        <f>+D139</f>
        <v>Attachment 11</v>
      </c>
      <c r="E141" s="428">
        <v>12.000079331536663</v>
      </c>
      <c r="F141" s="428">
        <v>0</v>
      </c>
      <c r="G141" s="428">
        <v>0</v>
      </c>
      <c r="H141" s="208"/>
      <c r="I141" s="1194" t="str">
        <f>+I139</f>
        <v>Pursuant to Attachment 11</v>
      </c>
      <c r="J141" s="1198"/>
      <c r="K141" s="352"/>
      <c r="L141" s="1199"/>
      <c r="M141" s="1200"/>
    </row>
    <row r="142" spans="1:13">
      <c r="A142" s="235">
        <f>+A141+1</f>
        <v>151</v>
      </c>
      <c r="B142" s="234"/>
      <c r="C142" s="229" t="s">
        <v>233</v>
      </c>
      <c r="D142" s="229" t="str">
        <f>"(line "&amp;A138&amp;" - line "&amp;A140&amp;" * "&amp;A141&amp;")"</f>
        <v>(line 147 - line 149 * 150)</v>
      </c>
      <c r="E142" s="666">
        <f>+(E138-E140*E141)</f>
        <v>987636</v>
      </c>
      <c r="F142" s="666">
        <f>+F138-F140*F141</f>
        <v>0</v>
      </c>
      <c r="G142" s="666">
        <f>+G138-G140*G141</f>
        <v>0</v>
      </c>
      <c r="H142" s="248"/>
      <c r="I142" s="1201" t="s">
        <v>454</v>
      </c>
      <c r="J142" s="1198"/>
      <c r="K142" s="1201"/>
      <c r="L142" s="1199"/>
      <c r="M142" s="1200"/>
    </row>
    <row r="143" spans="1:13">
      <c r="A143" s="235">
        <f>+A142+1</f>
        <v>152</v>
      </c>
      <c r="B143" s="234"/>
      <c r="C143" s="229" t="s">
        <v>235</v>
      </c>
      <c r="D143" s="229" t="str">
        <f>"(line "&amp;A138&amp;" + line "&amp;A142&amp;")/2"</f>
        <v>(line 147 + line 151)/2</v>
      </c>
      <c r="E143" s="666">
        <f>+E138/2+E142/2</f>
        <v>1234544.5</v>
      </c>
      <c r="F143" s="666">
        <f>+F138/2+F142/2</f>
        <v>0</v>
      </c>
      <c r="G143" s="666">
        <f>+G138/2+G142/2</f>
        <v>0</v>
      </c>
      <c r="H143" s="227">
        <f>SUM(E143:G143)</f>
        <v>1234544.5</v>
      </c>
      <c r="I143" s="1202" t="s">
        <v>459</v>
      </c>
      <c r="J143" s="1195" t="s">
        <v>460</v>
      </c>
      <c r="K143" s="1201"/>
      <c r="L143" s="1203"/>
      <c r="M143" s="1200"/>
    </row>
    <row r="144" spans="1:13" ht="15.75">
      <c r="A144" s="235"/>
      <c r="B144" s="234"/>
      <c r="C144" s="249"/>
      <c r="D144" s="229"/>
      <c r="E144" s="165"/>
      <c r="F144" s="165"/>
      <c r="G144" s="165"/>
      <c r="H144" s="248"/>
      <c r="I144" s="1506" t="s">
        <v>1093</v>
      </c>
      <c r="J144" s="1507" t="s">
        <v>1095</v>
      </c>
      <c r="K144" s="752"/>
      <c r="L144" s="757"/>
      <c r="M144" s="753"/>
    </row>
    <row r="145" spans="1:13" ht="15.75" customHeight="1">
      <c r="A145" s="453"/>
      <c r="B145" s="208"/>
      <c r="C145" s="208" t="s">
        <v>1009</v>
      </c>
      <c r="D145" s="208"/>
      <c r="E145" s="1108">
        <f>+E142-987636</f>
        <v>0</v>
      </c>
      <c r="F145" s="208"/>
      <c r="G145" s="208"/>
      <c r="H145" s="208"/>
      <c r="I145" s="826"/>
      <c r="J145" s="826"/>
      <c r="K145" s="719"/>
      <c r="L145" s="719"/>
      <c r="M145" s="758"/>
    </row>
    <row r="146" spans="1:13" ht="16.5" thickBot="1">
      <c r="A146" s="244"/>
      <c r="B146" s="243"/>
      <c r="C146" s="754"/>
      <c r="D146" s="262"/>
      <c r="E146" s="262"/>
      <c r="F146" s="262"/>
      <c r="G146" s="755"/>
      <c r="H146" s="756"/>
      <c r="I146" s="827"/>
      <c r="J146" s="828"/>
      <c r="K146" s="759"/>
      <c r="L146" s="760"/>
      <c r="M146" s="761"/>
    </row>
    <row r="147" spans="1:13" ht="15.75">
      <c r="C147" s="192"/>
      <c r="D147" s="192"/>
      <c r="E147" s="192"/>
      <c r="F147" s="192"/>
      <c r="G147" s="192"/>
    </row>
    <row r="148" spans="1:13" ht="16.5" thickBot="1">
      <c r="A148" s="588" t="s">
        <v>185</v>
      </c>
      <c r="B148" s="192"/>
      <c r="C148" s="192"/>
      <c r="D148" s="192"/>
      <c r="E148" s="192"/>
      <c r="F148" s="192"/>
      <c r="G148" s="192"/>
      <c r="H148" s="192"/>
      <c r="I148" s="192"/>
      <c r="J148" s="192"/>
      <c r="K148" s="192"/>
      <c r="L148" s="192"/>
      <c r="M148" s="192"/>
    </row>
    <row r="149" spans="1:13" ht="15.75">
      <c r="A149" s="1571" t="s">
        <v>498</v>
      </c>
      <c r="B149" s="1572"/>
      <c r="C149" s="1572"/>
      <c r="D149" s="1572"/>
      <c r="E149" s="1572"/>
      <c r="F149" s="1572"/>
      <c r="G149" s="870"/>
      <c r="H149" s="870"/>
      <c r="I149" s="870"/>
      <c r="J149" s="1568" t="s">
        <v>110</v>
      </c>
      <c r="K149" s="1569"/>
      <c r="L149" s="1569"/>
      <c r="M149" s="1570"/>
    </row>
    <row r="150" spans="1:13" ht="15.75">
      <c r="A150" s="209">
        <f>+A143+1</f>
        <v>153</v>
      </c>
      <c r="B150" s="211"/>
      <c r="C150" s="217" t="s">
        <v>247</v>
      </c>
      <c r="D150" s="213"/>
      <c r="E150" s="210"/>
      <c r="F150" s="1204"/>
      <c r="G150" s="589"/>
      <c r="H150" s="263"/>
      <c r="I150" s="263"/>
      <c r="J150" s="590"/>
      <c r="K150" s="590"/>
      <c r="L150" s="590"/>
      <c r="M150" s="591"/>
    </row>
    <row r="151" spans="1:13" ht="15.75">
      <c r="A151" s="209"/>
      <c r="B151" s="211"/>
      <c r="C151" s="217"/>
      <c r="D151" s="213"/>
      <c r="E151" s="210"/>
      <c r="F151" s="1204"/>
      <c r="G151" s="589"/>
      <c r="H151" s="263"/>
      <c r="I151" s="263"/>
      <c r="J151" s="590"/>
      <c r="K151" s="590"/>
      <c r="L151" s="590"/>
      <c r="M151" s="591"/>
    </row>
    <row r="152" spans="1:13" ht="15.75">
      <c r="A152" s="209"/>
      <c r="B152" s="210"/>
      <c r="C152" s="208"/>
      <c r="D152" s="208"/>
      <c r="E152" s="208"/>
      <c r="F152" s="1205"/>
      <c r="G152" s="240"/>
      <c r="H152" s="240"/>
      <c r="I152" s="240"/>
      <c r="J152" s="240"/>
      <c r="K152" s="240"/>
      <c r="L152" s="240"/>
      <c r="M152" s="592"/>
    </row>
    <row r="153" spans="1:13" ht="15.75">
      <c r="A153" s="209">
        <f>A150+1</f>
        <v>154</v>
      </c>
      <c r="B153" s="210"/>
      <c r="C153" s="1210" t="s">
        <v>493</v>
      </c>
      <c r="D153" s="253"/>
      <c r="E153" s="1211"/>
      <c r="F153" s="1205"/>
      <c r="G153" s="240"/>
      <c r="H153" s="240"/>
      <c r="I153" s="240"/>
      <c r="J153" s="240"/>
      <c r="K153" s="240"/>
      <c r="L153" s="240"/>
      <c r="M153" s="592"/>
    </row>
    <row r="154" spans="1:13" ht="15.75">
      <c r="A154" s="209">
        <f t="shared" ref="A154:A161" si="5">+A153+1</f>
        <v>155</v>
      </c>
      <c r="B154" s="210"/>
      <c r="C154" s="665" t="s">
        <v>248</v>
      </c>
      <c r="D154" s="1212"/>
      <c r="E154" s="1520">
        <v>-706747</v>
      </c>
      <c r="F154" s="1205"/>
      <c r="G154" s="240"/>
      <c r="H154" s="240"/>
      <c r="I154" s="240"/>
      <c r="J154" s="240"/>
      <c r="K154" s="240"/>
      <c r="L154" s="240"/>
      <c r="M154" s="592"/>
    </row>
    <row r="155" spans="1:13" ht="15.75">
      <c r="A155" s="209">
        <f t="shared" si="5"/>
        <v>156</v>
      </c>
      <c r="B155" s="210"/>
      <c r="C155" s="665" t="s">
        <v>249</v>
      </c>
      <c r="D155" s="1212"/>
      <c r="E155" s="1521">
        <v>296833483</v>
      </c>
      <c r="F155" s="1205"/>
      <c r="G155" s="240"/>
      <c r="H155" s="240"/>
      <c r="I155" s="240"/>
      <c r="J155" s="240"/>
      <c r="K155" s="240"/>
      <c r="L155" s="240"/>
      <c r="M155" s="592"/>
    </row>
    <row r="156" spans="1:13" ht="15.75">
      <c r="A156" s="209">
        <f t="shared" si="5"/>
        <v>157</v>
      </c>
      <c r="B156" s="210"/>
      <c r="C156" s="665" t="s">
        <v>250</v>
      </c>
      <c r="D156" s="1212"/>
      <c r="E156" s="1213">
        <f>+E154/E155</f>
        <v>-2.3809544423935491E-3</v>
      </c>
      <c r="F156" s="1205"/>
      <c r="G156" s="240"/>
      <c r="H156" s="240"/>
      <c r="I156" s="240"/>
      <c r="J156" s="240"/>
      <c r="K156" s="240"/>
      <c r="L156" s="240"/>
      <c r="M156" s="592"/>
    </row>
    <row r="157" spans="1:13" ht="15.75">
      <c r="A157" s="209">
        <f t="shared" si="5"/>
        <v>158</v>
      </c>
      <c r="B157" s="210"/>
      <c r="C157" s="665" t="s">
        <v>288</v>
      </c>
      <c r="D157" s="1212"/>
      <c r="E157" s="1214">
        <v>7762.9</v>
      </c>
      <c r="F157" s="1205"/>
      <c r="G157" s="240"/>
      <c r="H157" s="240"/>
      <c r="I157" s="240"/>
      <c r="J157" s="240"/>
      <c r="K157" s="240"/>
      <c r="L157" s="240"/>
      <c r="M157" s="592"/>
    </row>
    <row r="158" spans="1:13" ht="15.75">
      <c r="A158" s="209">
        <f t="shared" si="5"/>
        <v>159</v>
      </c>
      <c r="B158" s="210"/>
      <c r="C158" s="665" t="s">
        <v>289</v>
      </c>
      <c r="D158" s="1212"/>
      <c r="E158" s="1215">
        <f>+E156*E157</f>
        <v>-18.483111240856882</v>
      </c>
      <c r="F158" s="1205"/>
      <c r="G158" s="240"/>
      <c r="H158" s="240"/>
      <c r="I158" s="240"/>
      <c r="J158" s="240"/>
      <c r="K158" s="240"/>
      <c r="L158" s="240"/>
      <c r="M158" s="592"/>
    </row>
    <row r="159" spans="1:13" ht="15.75">
      <c r="A159" s="209">
        <f t="shared" si="5"/>
        <v>160</v>
      </c>
      <c r="B159" s="210"/>
      <c r="C159" s="665" t="s">
        <v>527</v>
      </c>
      <c r="D159" s="1212"/>
      <c r="E159" s="1214">
        <v>130</v>
      </c>
      <c r="F159" s="1205"/>
      <c r="G159" s="240"/>
      <c r="H159" s="240"/>
      <c r="I159" s="240"/>
      <c r="J159" s="240"/>
      <c r="K159" s="240"/>
      <c r="L159" s="240"/>
      <c r="M159" s="592"/>
    </row>
    <row r="160" spans="1:13" ht="15.75">
      <c r="A160" s="209">
        <f t="shared" si="5"/>
        <v>161</v>
      </c>
      <c r="B160" s="210"/>
      <c r="C160" s="665" t="s">
        <v>1076</v>
      </c>
      <c r="D160" s="1216" t="s">
        <v>8</v>
      </c>
      <c r="E160" s="1215">
        <f>+E158-E159</f>
        <v>-148.48311124085689</v>
      </c>
      <c r="F160" s="1205"/>
      <c r="G160" s="240"/>
      <c r="H160" s="240"/>
      <c r="I160" s="240"/>
      <c r="J160" s="240"/>
      <c r="K160" s="240"/>
      <c r="L160" s="240"/>
      <c r="M160" s="592"/>
    </row>
    <row r="161" spans="1:13" ht="15.75">
      <c r="A161" s="209">
        <f t="shared" si="5"/>
        <v>162</v>
      </c>
      <c r="B161" s="210"/>
      <c r="C161" s="665" t="str">
        <f>"Lines "&amp;A154&amp;"-"&amp;A156&amp;" cannot change absent approval or acceptance by FERC in a separate proceeding. "</f>
        <v xml:space="preserve">Lines 155-157 cannot change absent approval or acceptance by FERC in a separate proceeding. </v>
      </c>
      <c r="D161" s="1212"/>
      <c r="E161" s="1212"/>
      <c r="F161" s="1205"/>
      <c r="G161" s="240"/>
      <c r="H161" s="240"/>
      <c r="I161" s="240"/>
      <c r="J161" s="240"/>
      <c r="K161" s="240"/>
      <c r="L161" s="240"/>
      <c r="M161" s="592"/>
    </row>
    <row r="162" spans="1:13" ht="15.75">
      <c r="A162" s="209"/>
      <c r="B162" s="210"/>
      <c r="C162" s="665"/>
      <c r="D162" s="1212"/>
      <c r="E162" s="1212"/>
      <c r="F162" s="1205"/>
      <c r="G162" s="240"/>
      <c r="H162" s="240"/>
      <c r="I162" s="240"/>
      <c r="J162" s="240"/>
      <c r="K162" s="240"/>
      <c r="L162" s="240"/>
      <c r="M162" s="592"/>
    </row>
    <row r="163" spans="1:13" ht="15.75">
      <c r="A163" s="209">
        <f>+A160+1</f>
        <v>162</v>
      </c>
      <c r="B163" s="208"/>
      <c r="C163" s="1210" t="s">
        <v>997</v>
      </c>
      <c r="D163" s="253"/>
      <c r="E163" s="229"/>
      <c r="F163" s="1206"/>
      <c r="G163" s="240"/>
      <c r="H163" s="240"/>
      <c r="I163" s="240"/>
      <c r="J163" s="240"/>
      <c r="K163" s="240"/>
      <c r="L163" s="240"/>
      <c r="M163" s="592"/>
    </row>
    <row r="164" spans="1:13" ht="15.75">
      <c r="A164" s="209">
        <f t="shared" ref="A164:A171" si="6">+A163+1</f>
        <v>163</v>
      </c>
      <c r="B164" s="211"/>
      <c r="C164" s="665" t="s">
        <v>248</v>
      </c>
      <c r="D164" s="1212"/>
      <c r="E164" s="1520">
        <v>9027</v>
      </c>
      <c r="F164" s="1205"/>
      <c r="G164" s="240"/>
      <c r="H164" s="240"/>
      <c r="I164" s="240"/>
      <c r="J164" s="240"/>
      <c r="K164" s="240"/>
      <c r="L164" s="240"/>
      <c r="M164" s="592"/>
    </row>
    <row r="165" spans="1:13" ht="15.75">
      <c r="A165" s="209">
        <f t="shared" si="6"/>
        <v>164</v>
      </c>
      <c r="B165" s="210"/>
      <c r="C165" s="1212" t="s">
        <v>249</v>
      </c>
      <c r="D165" s="1212"/>
      <c r="E165" s="1521">
        <v>21957323</v>
      </c>
      <c r="F165" s="1205"/>
      <c r="G165" s="240"/>
      <c r="H165" s="240"/>
      <c r="I165" s="240"/>
      <c r="J165" s="240"/>
      <c r="K165" s="240"/>
      <c r="L165" s="240"/>
      <c r="M165" s="592"/>
    </row>
    <row r="166" spans="1:13" ht="15.75">
      <c r="A166" s="209">
        <f t="shared" si="6"/>
        <v>165</v>
      </c>
      <c r="B166" s="210"/>
      <c r="C166" s="1212" t="s">
        <v>250</v>
      </c>
      <c r="D166" s="1212"/>
      <c r="E166" s="1213">
        <f>+E164/E165</f>
        <v>4.1111569019593142E-4</v>
      </c>
      <c r="F166" s="1205"/>
      <c r="G166" s="240"/>
      <c r="H166" s="240"/>
      <c r="I166" s="240"/>
      <c r="J166" s="240"/>
      <c r="K166" s="240"/>
      <c r="L166" s="240"/>
      <c r="M166" s="592"/>
    </row>
    <row r="167" spans="1:13" ht="15.75">
      <c r="A167" s="209">
        <f t="shared" si="6"/>
        <v>166</v>
      </c>
      <c r="B167" s="210"/>
      <c r="C167" s="1212" t="s">
        <v>288</v>
      </c>
      <c r="D167" s="1212"/>
      <c r="E167" s="1214">
        <v>49986.759999999995</v>
      </c>
      <c r="F167" s="1205"/>
      <c r="G167" s="240"/>
      <c r="H167" s="240"/>
      <c r="I167" s="240"/>
      <c r="J167" s="240"/>
      <c r="K167" s="240"/>
      <c r="L167" s="240"/>
      <c r="M167" s="592"/>
    </row>
    <row r="168" spans="1:13" ht="15.75">
      <c r="A168" s="209">
        <f t="shared" si="6"/>
        <v>167</v>
      </c>
      <c r="B168" s="210"/>
      <c r="C168" s="1212" t="s">
        <v>289</v>
      </c>
      <c r="D168" s="1212"/>
      <c r="E168" s="1215">
        <f>+E166*E167</f>
        <v>20.550341338058374</v>
      </c>
      <c r="F168" s="1205"/>
      <c r="G168" s="240"/>
      <c r="H168" s="240"/>
      <c r="I168" s="240"/>
      <c r="J168" s="240"/>
      <c r="K168" s="240"/>
      <c r="L168" s="240"/>
      <c r="M168" s="592"/>
    </row>
    <row r="169" spans="1:13" ht="15.75">
      <c r="A169" s="209">
        <f t="shared" si="6"/>
        <v>168</v>
      </c>
      <c r="B169" s="210"/>
      <c r="C169" s="665" t="s">
        <v>527</v>
      </c>
      <c r="D169" s="1212"/>
      <c r="E169" s="1214">
        <v>19</v>
      </c>
      <c r="F169" s="1205"/>
      <c r="G169" s="240"/>
      <c r="H169" s="240"/>
      <c r="I169" s="240"/>
      <c r="J169" s="240"/>
      <c r="K169" s="240"/>
      <c r="L169" s="240"/>
      <c r="M169" s="592"/>
    </row>
    <row r="170" spans="1:13" ht="15.75">
      <c r="A170" s="209">
        <f t="shared" si="6"/>
        <v>169</v>
      </c>
      <c r="B170" s="210"/>
      <c r="C170" s="665" t="s">
        <v>1076</v>
      </c>
      <c r="D170" s="1216" t="s">
        <v>8</v>
      </c>
      <c r="E170" s="1215">
        <f>+E168-E169</f>
        <v>1.5503413380583737</v>
      </c>
      <c r="F170" s="1205"/>
      <c r="G170" s="240"/>
      <c r="H170" s="240"/>
      <c r="I170" s="240"/>
      <c r="J170" s="240"/>
      <c r="K170" s="240"/>
      <c r="L170" s="240"/>
      <c r="M170" s="592"/>
    </row>
    <row r="171" spans="1:13" ht="15.75">
      <c r="A171" s="209">
        <f t="shared" si="6"/>
        <v>170</v>
      </c>
      <c r="B171" s="210"/>
      <c r="C171" s="1212" t="str">
        <f>"Lines "&amp;A164&amp;"-"&amp;A166&amp;" cannot change absent approval or acceptance by FERC in a separate proceeding. "</f>
        <v xml:space="preserve">Lines 163-165 cannot change absent approval or acceptance by FERC in a separate proceeding. </v>
      </c>
      <c r="D171" s="1212"/>
      <c r="E171" s="1212"/>
      <c r="F171" s="1205"/>
      <c r="G171" s="240"/>
      <c r="H171" s="240"/>
      <c r="I171" s="240"/>
      <c r="J171" s="240"/>
      <c r="K171" s="240"/>
      <c r="L171" s="240"/>
      <c r="M171" s="592"/>
    </row>
    <row r="172" spans="1:13" ht="15.75">
      <c r="A172" s="209"/>
      <c r="B172" s="208"/>
      <c r="C172" s="208"/>
      <c r="D172" s="208"/>
      <c r="E172" s="208"/>
      <c r="F172" s="1205"/>
      <c r="G172" s="240"/>
      <c r="H172" s="240"/>
      <c r="I172" s="240"/>
      <c r="J172" s="240"/>
      <c r="K172" s="240"/>
      <c r="L172" s="240"/>
      <c r="M172" s="592"/>
    </row>
    <row r="173" spans="1:13" ht="15.75">
      <c r="A173" s="209">
        <f>+A171+1</f>
        <v>171</v>
      </c>
      <c r="B173" s="208"/>
      <c r="C173" s="1210" t="s">
        <v>500</v>
      </c>
      <c r="D173" s="253"/>
      <c r="E173" s="229"/>
      <c r="F173" s="1206"/>
      <c r="G173" s="240"/>
      <c r="H173" s="240"/>
      <c r="I173" s="240"/>
      <c r="J173" s="240"/>
      <c r="K173" s="240"/>
      <c r="L173" s="240"/>
      <c r="M173" s="592"/>
    </row>
    <row r="174" spans="1:13" ht="15.75">
      <c r="A174" s="209">
        <f t="shared" ref="A174:A181" si="7">+A173+1</f>
        <v>172</v>
      </c>
      <c r="B174" s="211"/>
      <c r="C174" s="665" t="s">
        <v>248</v>
      </c>
      <c r="D174" s="1212"/>
      <c r="E174" s="1520">
        <v>112598</v>
      </c>
      <c r="F174" s="1205"/>
      <c r="G174" s="240"/>
      <c r="H174" s="240"/>
      <c r="I174" s="240"/>
      <c r="J174" s="240"/>
      <c r="K174" s="240"/>
      <c r="L174" s="240"/>
      <c r="M174" s="592"/>
    </row>
    <row r="175" spans="1:13" ht="15.75">
      <c r="A175" s="209">
        <f t="shared" si="7"/>
        <v>173</v>
      </c>
      <c r="B175" s="210"/>
      <c r="C175" s="1212" t="s">
        <v>249</v>
      </c>
      <c r="D175" s="1212"/>
      <c r="E175" s="1521">
        <v>510661263</v>
      </c>
      <c r="F175" s="1205"/>
      <c r="G175" s="240"/>
      <c r="H175" s="240"/>
      <c r="I175" s="240"/>
      <c r="J175" s="240"/>
      <c r="K175" s="240"/>
      <c r="L175" s="240"/>
      <c r="M175" s="592"/>
    </row>
    <row r="176" spans="1:13" ht="15.75">
      <c r="A176" s="209">
        <f t="shared" si="7"/>
        <v>174</v>
      </c>
      <c r="B176" s="210"/>
      <c r="C176" s="1212" t="s">
        <v>250</v>
      </c>
      <c r="D176" s="1212"/>
      <c r="E176" s="1213">
        <f>+E174/E175</f>
        <v>2.2049450028481993E-4</v>
      </c>
      <c r="F176" s="1205"/>
      <c r="G176" s="240"/>
      <c r="H176" s="240"/>
      <c r="I176" s="240"/>
      <c r="J176" s="240"/>
      <c r="K176" s="240"/>
      <c r="L176" s="240"/>
      <c r="M176" s="592"/>
    </row>
    <row r="177" spans="1:13" ht="15.75">
      <c r="A177" s="209">
        <f t="shared" si="7"/>
        <v>175</v>
      </c>
      <c r="B177" s="210"/>
      <c r="C177" s="1212" t="s">
        <v>288</v>
      </c>
      <c r="D177" s="1212"/>
      <c r="E177" s="1214">
        <v>0</v>
      </c>
      <c r="F177" s="1205"/>
      <c r="G177" s="240"/>
      <c r="H177" s="240"/>
      <c r="I177" s="240"/>
      <c r="J177" s="240"/>
      <c r="K177" s="240"/>
      <c r="L177" s="240"/>
      <c r="M177" s="592"/>
    </row>
    <row r="178" spans="1:13" ht="15.75">
      <c r="A178" s="209">
        <f t="shared" si="7"/>
        <v>176</v>
      </c>
      <c r="B178" s="210"/>
      <c r="C178" s="1212" t="s">
        <v>289</v>
      </c>
      <c r="D178" s="1212"/>
      <c r="E178" s="1215">
        <f>+E176*E177</f>
        <v>0</v>
      </c>
      <c r="F178" s="1205"/>
      <c r="G178" s="240"/>
      <c r="H178" s="240"/>
      <c r="I178" s="240"/>
      <c r="J178" s="240"/>
      <c r="K178" s="240"/>
      <c r="L178" s="240"/>
      <c r="M178" s="592"/>
    </row>
    <row r="179" spans="1:13" ht="15.75">
      <c r="A179" s="209">
        <f t="shared" si="7"/>
        <v>177</v>
      </c>
      <c r="B179" s="210"/>
      <c r="C179" s="665" t="s">
        <v>527</v>
      </c>
      <c r="D179" s="1212"/>
      <c r="E179" s="1214">
        <v>0</v>
      </c>
      <c r="F179" s="1205"/>
      <c r="G179" s="240"/>
      <c r="H179" s="240"/>
      <c r="I179" s="240"/>
      <c r="J179" s="240"/>
      <c r="K179" s="240"/>
      <c r="L179" s="240"/>
      <c r="M179" s="592"/>
    </row>
    <row r="180" spans="1:13" ht="15.75">
      <c r="A180" s="209">
        <f t="shared" si="7"/>
        <v>178</v>
      </c>
      <c r="B180" s="210"/>
      <c r="C180" s="665" t="s">
        <v>1076</v>
      </c>
      <c r="D180" s="1216" t="s">
        <v>8</v>
      </c>
      <c r="E180" s="1215">
        <f>+E178-E179</f>
        <v>0</v>
      </c>
      <c r="F180" s="1205"/>
      <c r="G180" s="240"/>
      <c r="H180" s="240"/>
      <c r="I180" s="240"/>
      <c r="J180" s="240"/>
      <c r="K180" s="240"/>
      <c r="L180" s="240"/>
      <c r="M180" s="592"/>
    </row>
    <row r="181" spans="1:13" ht="15.75">
      <c r="A181" s="209">
        <f t="shared" si="7"/>
        <v>179</v>
      </c>
      <c r="B181" s="210"/>
      <c r="C181" s="1212" t="str">
        <f>"Lines "&amp;A174&amp;"-"&amp;A176&amp;" cannot change absent approval or acceptance by FERC in a separate proceeding. "</f>
        <v xml:space="preserve">Lines 172-174 cannot change absent approval or acceptance by FERC in a separate proceeding. </v>
      </c>
      <c r="D181" s="1212"/>
      <c r="E181" s="1212"/>
      <c r="F181" s="1205"/>
      <c r="G181" s="240"/>
      <c r="H181" s="240"/>
      <c r="I181" s="240"/>
      <c r="J181" s="240"/>
      <c r="K181" s="240"/>
      <c r="L181" s="240"/>
      <c r="M181" s="592"/>
    </row>
    <row r="182" spans="1:13" ht="15.75">
      <c r="A182" s="209"/>
      <c r="B182" s="208"/>
      <c r="C182" s="208"/>
      <c r="D182" s="208"/>
      <c r="E182" s="208"/>
      <c r="F182" s="1205"/>
      <c r="G182" s="240"/>
      <c r="H182" s="240"/>
      <c r="I182" s="240"/>
      <c r="J182" s="240"/>
      <c r="K182" s="240"/>
      <c r="L182" s="240"/>
      <c r="M182" s="592"/>
    </row>
    <row r="183" spans="1:13" ht="15.75">
      <c r="A183" s="209">
        <f>+A181+1</f>
        <v>180</v>
      </c>
      <c r="B183" s="208"/>
      <c r="C183" s="208" t="str">
        <f>+'Appendix III'!C121</f>
        <v xml:space="preserve">     PBOP expense adjustment</v>
      </c>
      <c r="D183" s="208" t="str">
        <f>"(sum lines "&amp;A160&amp;", "&amp;A170&amp;", &amp; "&amp;A180&amp;")"</f>
        <v>(sum lines 161, 169, &amp; 178)</v>
      </c>
      <c r="E183" s="1217">
        <f>+E170+E160+E180</f>
        <v>-146.9327699027985</v>
      </c>
      <c r="F183" s="1205"/>
      <c r="G183" s="240"/>
      <c r="H183" s="240"/>
      <c r="I183" s="240"/>
      <c r="J183" s="240"/>
      <c r="K183" s="240"/>
      <c r="L183" s="240"/>
      <c r="M183" s="592"/>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3"/>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J149:M149"/>
    <mergeCell ref="A149:F149"/>
    <mergeCell ref="H109:M109"/>
    <mergeCell ref="I140:M140"/>
    <mergeCell ref="A102:F102"/>
    <mergeCell ref="J102:M102"/>
    <mergeCell ref="J104:M104"/>
    <mergeCell ref="A107:F107"/>
    <mergeCell ref="H107:M107"/>
    <mergeCell ref="J74:M74"/>
    <mergeCell ref="A86:F86"/>
    <mergeCell ref="J86:M86"/>
    <mergeCell ref="J91:M91"/>
    <mergeCell ref="A95:F95"/>
    <mergeCell ref="L95:M95"/>
    <mergeCell ref="J53:M53"/>
    <mergeCell ref="A57:F57"/>
    <mergeCell ref="J57:M57"/>
    <mergeCell ref="J58:M58"/>
    <mergeCell ref="A73:F73"/>
    <mergeCell ref="J73:M73"/>
    <mergeCell ref="A3:F3"/>
    <mergeCell ref="J3:M3"/>
    <mergeCell ref="J48:M48"/>
    <mergeCell ref="A50:F50"/>
    <mergeCell ref="J50:M50"/>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3:R46"/>
  <sheetViews>
    <sheetView topLeftCell="C1" workbookViewId="0">
      <selection activeCell="P17" sqref="P17"/>
    </sheetView>
  </sheetViews>
  <sheetFormatPr defaultRowHeight="15"/>
  <cols>
    <col min="1" max="1" width="8.77734375" style="1112"/>
    <col min="2" max="2" width="57.77734375" customWidth="1"/>
    <col min="3" max="3" width="22.44140625" customWidth="1"/>
    <col min="4" max="4" width="12.77734375" style="679" bestFit="1" customWidth="1"/>
    <col min="5" max="15" width="10.21875" style="679" bestFit="1" customWidth="1"/>
    <col min="16" max="17" width="11.5546875" style="679" bestFit="1" customWidth="1"/>
    <col min="18" max="18" width="8.77734375" style="679"/>
  </cols>
  <sheetData>
    <row r="3" spans="1:18" s="199" customFormat="1" ht="12.75">
      <c r="A3" s="1116" t="s">
        <v>225</v>
      </c>
      <c r="D3" s="725"/>
      <c r="E3" s="725"/>
      <c r="F3" s="725"/>
      <c r="G3" s="725"/>
      <c r="H3" s="725"/>
      <c r="I3" s="725"/>
      <c r="J3" s="725"/>
      <c r="K3" s="725"/>
      <c r="L3" s="725"/>
      <c r="M3" s="725"/>
      <c r="N3" s="725"/>
      <c r="O3" s="725"/>
      <c r="P3" s="725"/>
      <c r="Q3" s="725"/>
      <c r="R3" s="725"/>
    </row>
    <row r="4" spans="1:18" s="199" customFormat="1" ht="13.5" thickBot="1">
      <c r="A4" s="1559" t="s">
        <v>498</v>
      </c>
      <c r="B4" s="1559"/>
      <c r="C4" s="1559"/>
      <c r="D4" s="1559"/>
      <c r="E4" s="1559"/>
      <c r="F4" s="1559"/>
      <c r="G4" s="1133"/>
      <c r="H4" s="1584"/>
      <c r="I4" s="1585"/>
      <c r="J4" s="1585"/>
      <c r="K4" s="1585"/>
      <c r="L4" s="1585"/>
      <c r="M4" s="1585"/>
      <c r="N4" s="725"/>
      <c r="O4" s="725"/>
      <c r="P4" s="725"/>
      <c r="Q4" s="725"/>
      <c r="R4" s="725"/>
    </row>
    <row r="5" spans="1:18" s="199" customFormat="1" ht="12.75">
      <c r="A5" s="1134"/>
      <c r="B5" s="1135"/>
      <c r="C5" s="1136"/>
      <c r="D5" s="1137"/>
      <c r="E5" s="1138"/>
      <c r="F5" s="1138"/>
      <c r="G5" s="1138"/>
      <c r="H5" s="1137"/>
      <c r="I5" s="1137"/>
      <c r="J5" s="1137"/>
      <c r="K5" s="1137"/>
      <c r="L5" s="1137"/>
      <c r="M5" s="1137"/>
      <c r="N5" s="1139"/>
      <c r="O5" s="1139"/>
      <c r="P5" s="1139"/>
      <c r="Q5" s="1140"/>
      <c r="R5" s="725"/>
    </row>
    <row r="6" spans="1:18">
      <c r="A6" s="1132"/>
      <c r="B6" s="1082"/>
      <c r="C6" s="1082"/>
      <c r="D6" s="1122"/>
      <c r="E6" s="1122"/>
      <c r="F6" s="1122"/>
      <c r="G6" s="1122"/>
      <c r="H6" s="1122"/>
      <c r="I6" s="1122"/>
      <c r="J6" s="1122"/>
      <c r="K6" s="1122"/>
      <c r="L6" s="1122"/>
      <c r="M6" s="1122"/>
      <c r="N6" s="1122"/>
      <c r="O6" s="1122"/>
      <c r="P6" s="1122"/>
      <c r="Q6" s="1123"/>
    </row>
    <row r="7" spans="1:18">
      <c r="A7" s="1113"/>
      <c r="B7" s="1082"/>
      <c r="C7" s="1083" t="s">
        <v>695</v>
      </c>
      <c r="D7" s="1122"/>
      <c r="E7" s="1122"/>
      <c r="F7" s="1122"/>
      <c r="G7" s="1122"/>
      <c r="H7" s="1122"/>
      <c r="I7" s="1122"/>
      <c r="J7" s="1122"/>
      <c r="K7" s="1122"/>
      <c r="L7" s="1122"/>
      <c r="M7" s="1122"/>
      <c r="N7" s="1122"/>
      <c r="O7" s="1122"/>
      <c r="P7" s="1122"/>
      <c r="Q7" s="1123"/>
    </row>
    <row r="8" spans="1:18">
      <c r="A8" s="1114" t="s">
        <v>304</v>
      </c>
      <c r="B8" s="1084" t="s">
        <v>696</v>
      </c>
      <c r="C8" s="1085" t="s">
        <v>697</v>
      </c>
      <c r="D8" s="1124" t="s">
        <v>146</v>
      </c>
      <c r="E8" s="1124" t="s">
        <v>156</v>
      </c>
      <c r="F8" s="1124" t="s">
        <v>155</v>
      </c>
      <c r="G8" s="1124" t="s">
        <v>154</v>
      </c>
      <c r="H8" s="1124" t="s">
        <v>134</v>
      </c>
      <c r="I8" s="1124" t="s">
        <v>131</v>
      </c>
      <c r="J8" s="1124" t="s">
        <v>262</v>
      </c>
      <c r="K8" s="1124" t="s">
        <v>152</v>
      </c>
      <c r="L8" s="1124" t="s">
        <v>151</v>
      </c>
      <c r="M8" s="1124" t="s">
        <v>150</v>
      </c>
      <c r="N8" s="1124" t="s">
        <v>161</v>
      </c>
      <c r="O8" s="1124" t="s">
        <v>148</v>
      </c>
      <c r="P8" s="1124" t="s">
        <v>146</v>
      </c>
      <c r="Q8" s="1125" t="s">
        <v>698</v>
      </c>
    </row>
    <row r="9" spans="1:18">
      <c r="A9" s="1113"/>
      <c r="B9" s="1086"/>
      <c r="C9" s="1086"/>
      <c r="D9" s="1126" t="s">
        <v>699</v>
      </c>
      <c r="E9" s="1126" t="s">
        <v>700</v>
      </c>
      <c r="F9" s="1126" t="s">
        <v>701</v>
      </c>
      <c r="G9" s="1126" t="s">
        <v>702</v>
      </c>
      <c r="H9" s="1126" t="s">
        <v>703</v>
      </c>
      <c r="I9" s="1126" t="s">
        <v>704</v>
      </c>
      <c r="J9" s="1126" t="s">
        <v>705</v>
      </c>
      <c r="K9" s="1126" t="s">
        <v>706</v>
      </c>
      <c r="L9" s="1126" t="s">
        <v>707</v>
      </c>
      <c r="M9" s="1126" t="s">
        <v>708</v>
      </c>
      <c r="N9" s="1126" t="s">
        <v>709</v>
      </c>
      <c r="O9" s="1126" t="s">
        <v>710</v>
      </c>
      <c r="P9" s="1126" t="s">
        <v>711</v>
      </c>
      <c r="Q9" s="1127" t="s">
        <v>712</v>
      </c>
    </row>
    <row r="10" spans="1:18">
      <c r="A10" s="1113">
        <f>+'2a - Cost Support'!A183+1</f>
        <v>181</v>
      </c>
      <c r="B10" s="1088" t="s">
        <v>713</v>
      </c>
      <c r="C10" s="1086"/>
      <c r="D10" s="1109"/>
      <c r="E10" s="1109"/>
      <c r="F10" s="1109"/>
      <c r="G10" s="1109"/>
      <c r="H10" s="1109"/>
      <c r="I10" s="1109"/>
      <c r="J10" s="1109"/>
      <c r="K10" s="1109"/>
      <c r="L10" s="1109"/>
      <c r="M10" s="1109"/>
      <c r="N10" s="1109"/>
      <c r="O10" s="1109"/>
      <c r="P10" s="1109"/>
      <c r="Q10" s="1110"/>
    </row>
    <row r="11" spans="1:18">
      <c r="A11" s="1113">
        <f t="shared" ref="A11:A41" si="0">A10+1</f>
        <v>182</v>
      </c>
      <c r="B11" s="1089" t="s">
        <v>714</v>
      </c>
      <c r="C11" s="1087" t="s">
        <v>715</v>
      </c>
      <c r="D11" s="1090">
        <v>0</v>
      </c>
      <c r="E11" s="1090">
        <v>0</v>
      </c>
      <c r="F11" s="1090">
        <v>0</v>
      </c>
      <c r="G11" s="1090">
        <v>0</v>
      </c>
      <c r="H11" s="1090">
        <v>0</v>
      </c>
      <c r="I11" s="1090">
        <v>0</v>
      </c>
      <c r="J11" s="1090">
        <v>0</v>
      </c>
      <c r="K11" s="1090">
        <v>0</v>
      </c>
      <c r="L11" s="1090">
        <v>0</v>
      </c>
      <c r="M11" s="1090">
        <v>0</v>
      </c>
      <c r="N11" s="1090">
        <v>0</v>
      </c>
      <c r="O11" s="1090">
        <v>0</v>
      </c>
      <c r="P11" s="1090">
        <v>0</v>
      </c>
      <c r="Q11" s="1091">
        <f>AVERAGE(D11:P11)</f>
        <v>0</v>
      </c>
    </row>
    <row r="12" spans="1:18">
      <c r="A12" s="1113">
        <f t="shared" si="0"/>
        <v>183</v>
      </c>
      <c r="B12" s="1089" t="s">
        <v>716</v>
      </c>
      <c r="C12" s="1087" t="s">
        <v>717</v>
      </c>
      <c r="D12" s="1092">
        <v>0</v>
      </c>
      <c r="E12" s="1092">
        <v>0</v>
      </c>
      <c r="F12" s="1092">
        <v>0</v>
      </c>
      <c r="G12" s="1092">
        <v>0</v>
      </c>
      <c r="H12" s="1092">
        <v>0</v>
      </c>
      <c r="I12" s="1092">
        <v>0</v>
      </c>
      <c r="J12" s="1092">
        <v>0</v>
      </c>
      <c r="K12" s="1092">
        <v>0</v>
      </c>
      <c r="L12" s="1092">
        <v>0</v>
      </c>
      <c r="M12" s="1092">
        <v>0</v>
      </c>
      <c r="N12" s="1092">
        <v>0</v>
      </c>
      <c r="O12" s="1092">
        <v>0</v>
      </c>
      <c r="P12" s="1092">
        <v>0</v>
      </c>
      <c r="Q12" s="1093">
        <f>AVERAGE(D12:P12)</f>
        <v>0</v>
      </c>
    </row>
    <row r="13" spans="1:18">
      <c r="A13" s="1113">
        <f t="shared" si="0"/>
        <v>184</v>
      </c>
      <c r="B13" s="1089" t="s">
        <v>718</v>
      </c>
      <c r="C13" s="1087" t="s">
        <v>719</v>
      </c>
      <c r="D13" s="1092">
        <v>0</v>
      </c>
      <c r="E13" s="1092">
        <v>0</v>
      </c>
      <c r="F13" s="1092">
        <v>0</v>
      </c>
      <c r="G13" s="1092">
        <v>0</v>
      </c>
      <c r="H13" s="1092">
        <v>0</v>
      </c>
      <c r="I13" s="1092">
        <v>0</v>
      </c>
      <c r="J13" s="1092">
        <v>0</v>
      </c>
      <c r="K13" s="1092">
        <v>0</v>
      </c>
      <c r="L13" s="1092">
        <v>0</v>
      </c>
      <c r="M13" s="1092">
        <v>0</v>
      </c>
      <c r="N13" s="1092">
        <v>0</v>
      </c>
      <c r="O13" s="1092">
        <v>0</v>
      </c>
      <c r="P13" s="1092">
        <v>0</v>
      </c>
      <c r="Q13" s="1093">
        <f>AVERAGE(D13:P13)</f>
        <v>0</v>
      </c>
    </row>
    <row r="14" spans="1:18" ht="15.75" thickBot="1">
      <c r="A14" s="1113">
        <f t="shared" si="0"/>
        <v>185</v>
      </c>
      <c r="B14" s="1094" t="s">
        <v>720</v>
      </c>
      <c r="C14" s="1087" t="s">
        <v>721</v>
      </c>
      <c r="D14" s="1095">
        <v>0</v>
      </c>
      <c r="E14" s="1095">
        <v>0</v>
      </c>
      <c r="F14" s="1095">
        <v>0</v>
      </c>
      <c r="G14" s="1095">
        <v>0</v>
      </c>
      <c r="H14" s="1095">
        <v>0</v>
      </c>
      <c r="I14" s="1095">
        <v>0</v>
      </c>
      <c r="J14" s="1095">
        <v>0</v>
      </c>
      <c r="K14" s="1095">
        <v>0</v>
      </c>
      <c r="L14" s="1095">
        <v>0</v>
      </c>
      <c r="M14" s="1095">
        <v>0</v>
      </c>
      <c r="N14" s="1095">
        <v>0</v>
      </c>
      <c r="O14" s="1095">
        <v>0</v>
      </c>
      <c r="P14" s="1095">
        <v>0</v>
      </c>
      <c r="Q14" s="1093">
        <f>AVERAGE(D14:P14)</f>
        <v>0</v>
      </c>
    </row>
    <row r="15" spans="1:18" ht="15.75" thickBot="1">
      <c r="A15" s="1113">
        <f t="shared" si="0"/>
        <v>186</v>
      </c>
      <c r="B15" s="1096" t="s">
        <v>722</v>
      </c>
      <c r="C15" s="1097" t="str">
        <f>"Sum Lines "&amp;A10&amp;" - "&amp;A14</f>
        <v>Sum Lines 181 - 185</v>
      </c>
      <c r="D15" s="1098">
        <f>SUM(D11:D14)</f>
        <v>0</v>
      </c>
      <c r="E15" s="1098">
        <f>SUM(E11:E14)</f>
        <v>0</v>
      </c>
      <c r="F15" s="1098">
        <f t="shared" ref="F15:P15" si="1">SUM(F11:F14)</f>
        <v>0</v>
      </c>
      <c r="G15" s="1098">
        <f t="shared" si="1"/>
        <v>0</v>
      </c>
      <c r="H15" s="1098">
        <f t="shared" si="1"/>
        <v>0</v>
      </c>
      <c r="I15" s="1098">
        <f t="shared" si="1"/>
        <v>0</v>
      </c>
      <c r="J15" s="1098">
        <f t="shared" si="1"/>
        <v>0</v>
      </c>
      <c r="K15" s="1098">
        <f t="shared" si="1"/>
        <v>0</v>
      </c>
      <c r="L15" s="1098">
        <f t="shared" si="1"/>
        <v>0</v>
      </c>
      <c r="M15" s="1098">
        <f t="shared" si="1"/>
        <v>0</v>
      </c>
      <c r="N15" s="1098">
        <f t="shared" si="1"/>
        <v>0</v>
      </c>
      <c r="O15" s="1098">
        <f t="shared" si="1"/>
        <v>0</v>
      </c>
      <c r="P15" s="1098">
        <f t="shared" si="1"/>
        <v>0</v>
      </c>
      <c r="Q15" s="1099">
        <f>SUM(Q11:Q14)</f>
        <v>0</v>
      </c>
    </row>
    <row r="16" spans="1:18" ht="15.75" thickBot="1">
      <c r="A16" s="1113">
        <f t="shared" si="0"/>
        <v>187</v>
      </c>
      <c r="B16" s="1088"/>
      <c r="C16" s="1088"/>
      <c r="D16" s="1109"/>
      <c r="E16" s="1109"/>
      <c r="F16" s="1109"/>
      <c r="G16" s="1109"/>
      <c r="H16" s="1109"/>
      <c r="I16" s="1109"/>
      <c r="J16" s="1109"/>
      <c r="K16" s="1109"/>
      <c r="L16" s="1109"/>
      <c r="M16" s="1109"/>
      <c r="N16" s="1109"/>
      <c r="O16" s="1109"/>
      <c r="P16" s="1109"/>
      <c r="Q16" s="1110"/>
    </row>
    <row r="17" spans="1:17" ht="15.75" thickBot="1">
      <c r="A17" s="1113">
        <f t="shared" si="0"/>
        <v>188</v>
      </c>
      <c r="B17" s="1096" t="s">
        <v>723</v>
      </c>
      <c r="C17" s="1087" t="s">
        <v>724</v>
      </c>
      <c r="D17" s="1117">
        <v>0</v>
      </c>
      <c r="E17" s="1117">
        <v>0</v>
      </c>
      <c r="F17" s="1117">
        <v>0</v>
      </c>
      <c r="G17" s="1117">
        <v>0</v>
      </c>
      <c r="H17" s="1117">
        <v>0</v>
      </c>
      <c r="I17" s="1117">
        <v>0</v>
      </c>
      <c r="J17" s="1117">
        <v>0</v>
      </c>
      <c r="K17" s="1117">
        <v>0</v>
      </c>
      <c r="L17" s="1117">
        <v>0</v>
      </c>
      <c r="M17" s="1117">
        <v>0</v>
      </c>
      <c r="N17" s="1117">
        <v>0</v>
      </c>
      <c r="O17" s="1117">
        <v>0</v>
      </c>
      <c r="P17" s="1118">
        <v>0</v>
      </c>
      <c r="Q17" s="1099">
        <f>AVERAGE(D17:P17)</f>
        <v>0</v>
      </c>
    </row>
    <row r="18" spans="1:17">
      <c r="A18" s="1113">
        <f t="shared" si="0"/>
        <v>189</v>
      </c>
      <c r="B18" s="1088"/>
      <c r="C18" s="1100"/>
      <c r="D18" s="1109"/>
      <c r="E18" s="1109"/>
      <c r="F18" s="1109"/>
      <c r="G18" s="1109"/>
      <c r="H18" s="1109"/>
      <c r="I18" s="1109"/>
      <c r="J18" s="1109"/>
      <c r="K18" s="1109"/>
      <c r="L18" s="1109"/>
      <c r="M18" s="1109"/>
      <c r="N18" s="1109"/>
      <c r="O18" s="1109"/>
      <c r="P18" s="1109"/>
      <c r="Q18" s="1110"/>
    </row>
    <row r="19" spans="1:17">
      <c r="A19" s="1113">
        <f t="shared" si="0"/>
        <v>190</v>
      </c>
      <c r="B19" s="1088" t="s">
        <v>725</v>
      </c>
      <c r="C19" s="1087" t="s">
        <v>726</v>
      </c>
      <c r="D19" s="1517">
        <v>4644081.55</v>
      </c>
      <c r="E19" s="1517">
        <v>4668151.75</v>
      </c>
      <c r="F19" s="1517">
        <v>4384792.29</v>
      </c>
      <c r="G19" s="1517">
        <v>4403083.9899999993</v>
      </c>
      <c r="H19" s="1517">
        <v>4102715.38</v>
      </c>
      <c r="I19" s="1517">
        <v>3723961.16</v>
      </c>
      <c r="J19" s="1517">
        <v>3671887.74</v>
      </c>
      <c r="K19" s="1517">
        <v>3691366.16</v>
      </c>
      <c r="L19" s="1517">
        <v>3319514.96</v>
      </c>
      <c r="M19" s="1517">
        <v>3339485.93</v>
      </c>
      <c r="N19" s="1517">
        <v>2955675.0900000003</v>
      </c>
      <c r="O19" s="1517">
        <v>2971921.1300000004</v>
      </c>
      <c r="P19" s="1517">
        <v>2955872.5900000003</v>
      </c>
      <c r="Q19" s="1091">
        <f>AVERAGE(D19:P19)</f>
        <v>3756346.9015384619</v>
      </c>
    </row>
    <row r="20" spans="1:17">
      <c r="A20" s="1113">
        <f t="shared" si="0"/>
        <v>191</v>
      </c>
      <c r="B20" s="1089" t="s">
        <v>727</v>
      </c>
      <c r="C20" s="1087" t="s">
        <v>724</v>
      </c>
      <c r="D20" s="1117">
        <v>0</v>
      </c>
      <c r="E20" s="1117">
        <v>0</v>
      </c>
      <c r="F20" s="1117">
        <v>0</v>
      </c>
      <c r="G20" s="1117">
        <v>0</v>
      </c>
      <c r="H20" s="1117">
        <v>0</v>
      </c>
      <c r="I20" s="1117">
        <v>0</v>
      </c>
      <c r="J20" s="1117">
        <v>0</v>
      </c>
      <c r="K20" s="1117">
        <v>0</v>
      </c>
      <c r="L20" s="1117">
        <v>0</v>
      </c>
      <c r="M20" s="1117">
        <v>0</v>
      </c>
      <c r="N20" s="1117">
        <v>0</v>
      </c>
      <c r="O20" s="1117">
        <v>0</v>
      </c>
      <c r="P20" s="1117">
        <v>0</v>
      </c>
      <c r="Q20" s="1091">
        <f>AVERAGE(D20:P20)</f>
        <v>0</v>
      </c>
    </row>
    <row r="21" spans="1:17">
      <c r="A21" s="1113">
        <f t="shared" si="0"/>
        <v>192</v>
      </c>
      <c r="B21" s="1101" t="s">
        <v>728</v>
      </c>
      <c r="C21" s="1087" t="s">
        <v>729</v>
      </c>
      <c r="D21" s="1117">
        <v>0</v>
      </c>
      <c r="E21" s="1117">
        <v>0</v>
      </c>
      <c r="F21" s="1117">
        <v>0</v>
      </c>
      <c r="G21" s="1117">
        <v>0</v>
      </c>
      <c r="H21" s="1117">
        <v>0</v>
      </c>
      <c r="I21" s="1117">
        <v>0</v>
      </c>
      <c r="J21" s="1117">
        <v>0</v>
      </c>
      <c r="K21" s="1117">
        <v>0</v>
      </c>
      <c r="L21" s="1117">
        <v>0</v>
      </c>
      <c r="M21" s="1117">
        <v>0</v>
      </c>
      <c r="N21" s="1117">
        <v>0</v>
      </c>
      <c r="O21" s="1117">
        <v>0</v>
      </c>
      <c r="P21" s="1117">
        <v>0</v>
      </c>
      <c r="Q21" s="1091">
        <f>AVERAGE(D21:P21)</f>
        <v>0</v>
      </c>
    </row>
    <row r="22" spans="1:17" ht="15.75" thickBot="1">
      <c r="A22" s="1113">
        <f t="shared" si="0"/>
        <v>193</v>
      </c>
      <c r="B22" s="1101" t="s">
        <v>730</v>
      </c>
      <c r="C22" s="1087" t="s">
        <v>731</v>
      </c>
      <c r="D22" s="1119">
        <v>0</v>
      </c>
      <c r="E22" s="1119">
        <v>0</v>
      </c>
      <c r="F22" s="1119">
        <v>0</v>
      </c>
      <c r="G22" s="1119">
        <v>0</v>
      </c>
      <c r="H22" s="1119">
        <v>0</v>
      </c>
      <c r="I22" s="1119">
        <v>0</v>
      </c>
      <c r="J22" s="1119">
        <v>0</v>
      </c>
      <c r="K22" s="1119">
        <v>0</v>
      </c>
      <c r="L22" s="1119">
        <v>0</v>
      </c>
      <c r="M22" s="1119">
        <v>0</v>
      </c>
      <c r="N22" s="1119">
        <v>0</v>
      </c>
      <c r="O22" s="1119">
        <v>0</v>
      </c>
      <c r="P22" s="1119">
        <v>0</v>
      </c>
      <c r="Q22" s="1102">
        <f>AVERAGE(D22:P22)</f>
        <v>0</v>
      </c>
    </row>
    <row r="23" spans="1:17" ht="15.75" thickBot="1">
      <c r="A23" s="1113">
        <f t="shared" si="0"/>
        <v>194</v>
      </c>
      <c r="B23" s="1088" t="str">
        <f>"Adjusted Common Equity"</f>
        <v>Adjusted Common Equity</v>
      </c>
      <c r="C23" s="1097" t="str">
        <f>"Ln "&amp; A19&amp;" - "&amp;A20&amp;" - "&amp;A21&amp;" - "&amp;A22</f>
        <v>Ln 190 - 191 - 192 - 193</v>
      </c>
      <c r="D23" s="1497">
        <f>D19-D20-D21-D22</f>
        <v>4644081.55</v>
      </c>
      <c r="E23" s="1497">
        <f t="shared" ref="E23:Q23" si="2">E19-E20-E21-E22</f>
        <v>4668151.75</v>
      </c>
      <c r="F23" s="1497">
        <f t="shared" si="2"/>
        <v>4384792.29</v>
      </c>
      <c r="G23" s="1497">
        <f t="shared" si="2"/>
        <v>4403083.9899999993</v>
      </c>
      <c r="H23" s="1497">
        <f t="shared" si="2"/>
        <v>4102715.38</v>
      </c>
      <c r="I23" s="1497">
        <f t="shared" si="2"/>
        <v>3723961.16</v>
      </c>
      <c r="J23" s="1497">
        <f t="shared" si="2"/>
        <v>3671887.74</v>
      </c>
      <c r="K23" s="1497">
        <f t="shared" si="2"/>
        <v>3691366.16</v>
      </c>
      <c r="L23" s="1497">
        <f t="shared" si="2"/>
        <v>3319514.96</v>
      </c>
      <c r="M23" s="1497">
        <f t="shared" si="2"/>
        <v>3339485.93</v>
      </c>
      <c r="N23" s="1497">
        <f t="shared" si="2"/>
        <v>2955675.0900000003</v>
      </c>
      <c r="O23" s="1497">
        <f t="shared" si="2"/>
        <v>2971921.1300000004</v>
      </c>
      <c r="P23" s="1497">
        <f t="shared" si="2"/>
        <v>2955872.5900000003</v>
      </c>
      <c r="Q23" s="1498">
        <f t="shared" si="2"/>
        <v>3756346.9015384619</v>
      </c>
    </row>
    <row r="24" spans="1:17">
      <c r="A24" s="1113">
        <f t="shared" si="0"/>
        <v>195</v>
      </c>
      <c r="B24" s="1088"/>
      <c r="C24" s="1100"/>
      <c r="D24" s="1497"/>
      <c r="E24" s="1497"/>
      <c r="F24" s="1497"/>
      <c r="G24" s="1497"/>
      <c r="H24" s="1497"/>
      <c r="I24" s="1497"/>
      <c r="J24" s="1497"/>
      <c r="K24" s="1497"/>
      <c r="L24" s="1497"/>
      <c r="M24" s="1497"/>
      <c r="N24" s="1497"/>
      <c r="O24" s="1497"/>
      <c r="P24" s="1497"/>
      <c r="Q24" s="1499"/>
    </row>
    <row r="25" spans="1:17">
      <c r="A25" s="1113">
        <f t="shared" si="0"/>
        <v>196</v>
      </c>
      <c r="B25" s="1088" t="str">
        <f>"Total (Line "&amp;A15&amp;" plus Line "&amp;A17&amp;" plus Line "&amp;A23&amp;")"</f>
        <v>Total (Line 186 plus Line 188 plus Line 194)</v>
      </c>
      <c r="C25" s="1088"/>
      <c r="D25" s="1497">
        <f>D15+D17+D23</f>
        <v>4644081.55</v>
      </c>
      <c r="E25" s="1497">
        <f t="shared" ref="E25:Q25" si="3">E15+E17+E23</f>
        <v>4668151.75</v>
      </c>
      <c r="F25" s="1497">
        <f t="shared" si="3"/>
        <v>4384792.29</v>
      </c>
      <c r="G25" s="1497">
        <f t="shared" si="3"/>
        <v>4403083.9899999993</v>
      </c>
      <c r="H25" s="1497">
        <f t="shared" si="3"/>
        <v>4102715.38</v>
      </c>
      <c r="I25" s="1497">
        <f t="shared" si="3"/>
        <v>3723961.16</v>
      </c>
      <c r="J25" s="1497">
        <f t="shared" si="3"/>
        <v>3671887.74</v>
      </c>
      <c r="K25" s="1497">
        <f t="shared" si="3"/>
        <v>3691366.16</v>
      </c>
      <c r="L25" s="1497">
        <f t="shared" si="3"/>
        <v>3319514.96</v>
      </c>
      <c r="M25" s="1497">
        <f t="shared" si="3"/>
        <v>3339485.93</v>
      </c>
      <c r="N25" s="1497">
        <f t="shared" si="3"/>
        <v>2955675.0900000003</v>
      </c>
      <c r="O25" s="1497">
        <f t="shared" si="3"/>
        <v>2971921.1300000004</v>
      </c>
      <c r="P25" s="1497">
        <f t="shared" si="3"/>
        <v>2955872.5900000003</v>
      </c>
      <c r="Q25" s="1499">
        <f t="shared" si="3"/>
        <v>3756346.9015384619</v>
      </c>
    </row>
    <row r="26" spans="1:17">
      <c r="A26" s="1113">
        <f t="shared" si="0"/>
        <v>197</v>
      </c>
      <c r="B26" s="1088"/>
      <c r="C26" s="1100"/>
      <c r="D26" s="1108"/>
      <c r="E26" s="1109"/>
      <c r="F26" s="1109"/>
      <c r="G26" s="1109"/>
      <c r="H26" s="1109"/>
      <c r="I26" s="1109"/>
      <c r="J26" s="1109"/>
      <c r="K26" s="1109"/>
      <c r="L26" s="1109"/>
      <c r="M26" s="1109"/>
      <c r="N26" s="1109"/>
      <c r="O26" s="1109"/>
      <c r="P26" s="1109"/>
      <c r="Q26" s="1110"/>
    </row>
    <row r="27" spans="1:17">
      <c r="A27" s="1113">
        <f t="shared" si="0"/>
        <v>198</v>
      </c>
      <c r="B27" s="1100" t="s">
        <v>732</v>
      </c>
      <c r="C27" s="1100"/>
      <c r="D27" s="1108"/>
      <c r="E27" s="1128"/>
      <c r="F27" s="1128"/>
      <c r="G27" s="1128"/>
      <c r="H27" s="1128"/>
      <c r="I27" s="1128"/>
      <c r="J27" s="1128"/>
      <c r="K27" s="1128"/>
      <c r="L27" s="1128"/>
      <c r="M27" s="1128"/>
      <c r="N27" s="1128"/>
      <c r="O27" s="1128"/>
      <c r="P27" s="1128"/>
      <c r="Q27" s="1129"/>
    </row>
    <row r="28" spans="1:17">
      <c r="A28" s="1113">
        <f t="shared" si="0"/>
        <v>199</v>
      </c>
      <c r="B28" s="1101" t="s">
        <v>733</v>
      </c>
      <c r="C28" s="1097" t="s">
        <v>734</v>
      </c>
      <c r="D28" s="599"/>
      <c r="E28" s="1109"/>
      <c r="F28" s="1108"/>
      <c r="G28" s="1108"/>
      <c r="H28" s="1108"/>
      <c r="I28" s="1108"/>
      <c r="J28" s="1108"/>
      <c r="K28" s="1108"/>
      <c r="L28" s="1108"/>
      <c r="M28" s="1108"/>
      <c r="N28" s="1108"/>
      <c r="O28" s="1108"/>
      <c r="P28" s="1120">
        <v>0</v>
      </c>
      <c r="Q28" s="1110"/>
    </row>
    <row r="29" spans="1:17">
      <c r="A29" s="1113">
        <f t="shared" si="0"/>
        <v>200</v>
      </c>
      <c r="B29" s="1101" t="s">
        <v>735</v>
      </c>
      <c r="C29" s="1087" t="s">
        <v>736</v>
      </c>
      <c r="D29" s="1122"/>
      <c r="E29" s="1109"/>
      <c r="F29" s="1108"/>
      <c r="G29" s="1108"/>
      <c r="H29" s="1108"/>
      <c r="I29" s="1108"/>
      <c r="J29" s="1108"/>
      <c r="K29" s="1108"/>
      <c r="L29" s="1108"/>
      <c r="M29" s="1108"/>
      <c r="N29" s="1108"/>
      <c r="O29" s="1108"/>
      <c r="P29" s="1120">
        <v>0</v>
      </c>
      <c r="Q29" s="1110"/>
    </row>
    <row r="30" spans="1:17">
      <c r="A30" s="1113">
        <f t="shared" si="0"/>
        <v>201</v>
      </c>
      <c r="B30" s="1101" t="s">
        <v>737</v>
      </c>
      <c r="C30" s="1087" t="s">
        <v>738</v>
      </c>
      <c r="D30" s="1122"/>
      <c r="E30" s="1109"/>
      <c r="F30" s="1108"/>
      <c r="G30" s="1108"/>
      <c r="H30" s="1108"/>
      <c r="I30" s="1108"/>
      <c r="J30" s="1108"/>
      <c r="K30" s="1108"/>
      <c r="L30" s="1108"/>
      <c r="M30" s="1108"/>
      <c r="N30" s="1108"/>
      <c r="O30" s="1108"/>
      <c r="P30" s="1120">
        <v>0</v>
      </c>
      <c r="Q30" s="1110"/>
    </row>
    <row r="31" spans="1:17">
      <c r="A31" s="1113">
        <f t="shared" si="0"/>
        <v>202</v>
      </c>
      <c r="B31" s="1103" t="s">
        <v>739</v>
      </c>
      <c r="C31" s="1097" t="s">
        <v>740</v>
      </c>
      <c r="D31" s="599"/>
      <c r="E31" s="1109"/>
      <c r="F31" s="1108"/>
      <c r="G31" s="1108"/>
      <c r="H31" s="1108"/>
      <c r="I31" s="1108"/>
      <c r="J31" s="1108"/>
      <c r="K31" s="1108"/>
      <c r="L31" s="1108"/>
      <c r="M31" s="1108"/>
      <c r="N31" s="1108"/>
      <c r="O31" s="1108"/>
      <c r="P31" s="1120">
        <v>0</v>
      </c>
      <c r="Q31" s="1110"/>
    </row>
    <row r="32" spans="1:17">
      <c r="A32" s="1113">
        <f t="shared" si="0"/>
        <v>203</v>
      </c>
      <c r="B32" s="1104" t="s">
        <v>741</v>
      </c>
      <c r="C32" s="1096" t="s">
        <v>742</v>
      </c>
      <c r="D32" s="1122"/>
      <c r="E32" s="1109"/>
      <c r="F32" s="1108"/>
      <c r="G32" s="1108"/>
      <c r="H32" s="1108"/>
      <c r="I32" s="1108"/>
      <c r="J32" s="1108"/>
      <c r="K32" s="1108"/>
      <c r="L32" s="1108"/>
      <c r="M32" s="1108"/>
      <c r="N32" s="1108"/>
      <c r="O32" s="1108"/>
      <c r="P32" s="1120">
        <v>0</v>
      </c>
      <c r="Q32" s="1110"/>
    </row>
    <row r="33" spans="1:17">
      <c r="A33" s="1113">
        <f t="shared" si="0"/>
        <v>204</v>
      </c>
      <c r="B33" s="1104" t="s">
        <v>743</v>
      </c>
      <c r="C33" s="1096" t="s">
        <v>744</v>
      </c>
      <c r="D33" s="1122"/>
      <c r="E33" s="1109"/>
      <c r="F33" s="1108"/>
      <c r="G33" s="1108"/>
      <c r="H33" s="1108"/>
      <c r="I33" s="1108"/>
      <c r="J33" s="1108"/>
      <c r="K33" s="1108"/>
      <c r="L33" s="1108"/>
      <c r="M33" s="1108"/>
      <c r="N33" s="1108"/>
      <c r="O33" s="1108"/>
      <c r="P33" s="1121">
        <v>0</v>
      </c>
      <c r="Q33" s="1110"/>
    </row>
    <row r="34" spans="1:17">
      <c r="A34" s="1113">
        <f>A33+1</f>
        <v>205</v>
      </c>
      <c r="B34" s="1101" t="s">
        <v>745</v>
      </c>
      <c r="C34" s="1097" t="str">
        <f>"Sum Lines "&amp;A28&amp;" - "&amp;A33</f>
        <v>Sum Lines 199 - 204</v>
      </c>
      <c r="D34" s="1108"/>
      <c r="E34" s="1109"/>
      <c r="F34" s="1108"/>
      <c r="G34" s="1108"/>
      <c r="H34" s="1108"/>
      <c r="I34" s="1108"/>
      <c r="J34" s="1108"/>
      <c r="K34" s="1108"/>
      <c r="L34" s="1108"/>
      <c r="M34" s="1108"/>
      <c r="N34" s="1108"/>
      <c r="O34" s="1108"/>
      <c r="P34" s="1108">
        <f>SUM(P28:P33)</f>
        <v>0</v>
      </c>
      <c r="Q34" s="1110"/>
    </row>
    <row r="35" spans="1:17" ht="15.75" thickBot="1">
      <c r="A35" s="1113">
        <f t="shared" si="0"/>
        <v>206</v>
      </c>
      <c r="B35" s="1105"/>
      <c r="C35" s="1100"/>
      <c r="D35" s="1108"/>
      <c r="E35" s="1108"/>
      <c r="F35" s="1108"/>
      <c r="G35" s="1108"/>
      <c r="H35" s="1108"/>
      <c r="I35" s="1108"/>
      <c r="J35" s="1108"/>
      <c r="K35" s="1108"/>
      <c r="L35" s="1108"/>
      <c r="M35" s="1108"/>
      <c r="N35" s="1108"/>
      <c r="O35" s="1108"/>
      <c r="P35" s="1108"/>
      <c r="Q35" s="1110"/>
    </row>
    <row r="36" spans="1:17" ht="15.75" thickBot="1">
      <c r="A36" s="1113">
        <f t="shared" si="0"/>
        <v>207</v>
      </c>
      <c r="B36" s="1105" t="str">
        <f>"Average Cost of Debt (Line "&amp;A34&amp;" / Line "&amp;A15&amp;")"</f>
        <v>Average Cost of Debt (Line 205 / Line 186)</v>
      </c>
      <c r="C36" s="1088"/>
      <c r="D36" s="1109"/>
      <c r="E36" s="1109"/>
      <c r="F36" s="1109"/>
      <c r="G36" s="1109"/>
      <c r="H36" s="1109"/>
      <c r="I36" s="1109"/>
      <c r="J36" s="1109"/>
      <c r="K36" s="1109"/>
      <c r="L36" s="1109"/>
      <c r="M36" s="1109"/>
      <c r="N36" s="1109"/>
      <c r="O36" s="1109"/>
      <c r="P36" s="1099">
        <f>IF(Q15=0,0,ROUND(P34/Q15,4))</f>
        <v>0</v>
      </c>
      <c r="Q36" s="1110"/>
    </row>
    <row r="37" spans="1:17">
      <c r="A37" s="1113">
        <f t="shared" si="0"/>
        <v>208</v>
      </c>
      <c r="B37" s="1105"/>
      <c r="C37" s="1088"/>
      <c r="D37" s="1109"/>
      <c r="E37" s="1109"/>
      <c r="F37" s="1109"/>
      <c r="G37" s="1109"/>
      <c r="H37" s="1109"/>
      <c r="I37" s="1109"/>
      <c r="J37" s="1109"/>
      <c r="K37" s="1109"/>
      <c r="L37" s="1109"/>
      <c r="M37" s="1109"/>
      <c r="N37" s="1109"/>
      <c r="O37" s="1109"/>
      <c r="P37" s="1098"/>
      <c r="Q37" s="1110"/>
    </row>
    <row r="38" spans="1:17">
      <c r="A38" s="1113">
        <f t="shared" si="0"/>
        <v>209</v>
      </c>
      <c r="B38" s="1100" t="s">
        <v>330</v>
      </c>
      <c r="C38" s="1088"/>
      <c r="D38" s="1109"/>
      <c r="E38" s="1109"/>
      <c r="F38" s="1109"/>
      <c r="G38" s="1109"/>
      <c r="H38" s="1109"/>
      <c r="I38" s="1109"/>
      <c r="J38" s="1109"/>
      <c r="K38" s="1109"/>
      <c r="L38" s="1109"/>
      <c r="M38" s="1109"/>
      <c r="N38" s="1109"/>
      <c r="O38" s="1109"/>
      <c r="P38" s="1098"/>
      <c r="Q38" s="1110"/>
    </row>
    <row r="39" spans="1:17">
      <c r="A39" s="1113">
        <f t="shared" si="0"/>
        <v>210</v>
      </c>
      <c r="B39" s="1106" t="s">
        <v>746</v>
      </c>
      <c r="C39" s="1087" t="s">
        <v>747</v>
      </c>
      <c r="D39" s="1109"/>
      <c r="E39" s="1109"/>
      <c r="F39" s="1109"/>
      <c r="G39" s="1109"/>
      <c r="H39" s="1109"/>
      <c r="I39" s="1109"/>
      <c r="J39" s="1109"/>
      <c r="K39" s="1109"/>
      <c r="L39" s="1109"/>
      <c r="M39" s="1109"/>
      <c r="N39" s="1109"/>
      <c r="O39" s="1109"/>
      <c r="P39" s="1090"/>
      <c r="Q39" s="1110"/>
    </row>
    <row r="40" spans="1:17">
      <c r="A40" s="1113">
        <f t="shared" si="0"/>
        <v>211</v>
      </c>
      <c r="B40" s="1106"/>
      <c r="C40" s="1088"/>
      <c r="D40" s="1109"/>
      <c r="E40" s="1109"/>
      <c r="F40" s="1109"/>
      <c r="G40" s="1109"/>
      <c r="H40" s="1109"/>
      <c r="I40" s="1109"/>
      <c r="J40" s="1109"/>
      <c r="K40" s="1109"/>
      <c r="L40" s="1109"/>
      <c r="M40" s="1109"/>
      <c r="N40" s="1109"/>
      <c r="O40" s="1109"/>
      <c r="P40" s="1098"/>
      <c r="Q40" s="1110"/>
    </row>
    <row r="41" spans="1:17">
      <c r="A41" s="1113">
        <f t="shared" si="0"/>
        <v>212</v>
      </c>
      <c r="B41" s="1106" t="str">
        <f>"Average Cost of Preferred Stock (Line "&amp;A39&amp;" / Line "&amp;A17&amp;")"</f>
        <v>Average Cost of Preferred Stock (Line 210 / Line 188)</v>
      </c>
      <c r="C41" s="1088"/>
      <c r="D41" s="1109"/>
      <c r="E41" s="1109"/>
      <c r="F41" s="1109"/>
      <c r="G41" s="1109"/>
      <c r="H41" s="1109"/>
      <c r="I41" s="1109"/>
      <c r="J41" s="1109"/>
      <c r="K41" s="1109"/>
      <c r="L41" s="1109"/>
      <c r="M41" s="1109"/>
      <c r="N41" s="1109"/>
      <c r="O41" s="1109"/>
      <c r="P41" s="1098">
        <f>IF(P39=0,0,ROUND(P39/Q17,4))</f>
        <v>0</v>
      </c>
      <c r="Q41" s="1110"/>
    </row>
    <row r="42" spans="1:17">
      <c r="A42" s="1113"/>
      <c r="B42" s="1106"/>
      <c r="C42" s="1086"/>
      <c r="D42" s="1109"/>
      <c r="E42" s="1109"/>
      <c r="F42" s="1109"/>
      <c r="G42" s="1109"/>
      <c r="H42" s="1109"/>
      <c r="I42" s="1109"/>
      <c r="J42" s="1109"/>
      <c r="K42" s="1109"/>
      <c r="L42" s="1109"/>
      <c r="M42" s="1109"/>
      <c r="N42" s="1109"/>
      <c r="O42" s="1109"/>
      <c r="P42" s="1098"/>
      <c r="Q42" s="1110"/>
    </row>
    <row r="43" spans="1:17">
      <c r="A43" s="1113"/>
      <c r="B43" s="1586" t="s">
        <v>748</v>
      </c>
      <c r="C43" s="1586"/>
      <c r="D43" s="1586"/>
      <c r="E43" s="1586"/>
      <c r="F43" s="1586"/>
      <c r="G43" s="1586"/>
      <c r="H43" s="1109"/>
      <c r="I43" s="1109"/>
      <c r="J43" s="1109"/>
      <c r="K43" s="1109"/>
      <c r="L43" s="1109"/>
      <c r="M43" s="1109"/>
      <c r="N43" s="1109"/>
      <c r="O43" s="1109"/>
      <c r="P43" s="1098"/>
      <c r="Q43" s="1110"/>
    </row>
    <row r="44" spans="1:17">
      <c r="A44" s="1113"/>
      <c r="B44" s="665" t="s">
        <v>749</v>
      </c>
      <c r="C44" s="1086"/>
      <c r="D44" s="1109"/>
      <c r="E44" s="1109"/>
      <c r="F44" s="1109"/>
      <c r="G44" s="1109"/>
      <c r="H44" s="1109"/>
      <c r="I44" s="1109"/>
      <c r="J44" s="1109"/>
      <c r="K44" s="1109"/>
      <c r="L44" s="1109"/>
      <c r="M44" s="1109"/>
      <c r="N44" s="1109"/>
      <c r="O44" s="1109"/>
      <c r="P44" s="1098"/>
      <c r="Q44" s="1110"/>
    </row>
    <row r="45" spans="1:17" ht="15.75" thickBot="1">
      <c r="A45" s="1115"/>
      <c r="B45" s="1107"/>
      <c r="C45" s="1107"/>
      <c r="D45" s="1130"/>
      <c r="E45" s="1130"/>
      <c r="F45" s="1130"/>
      <c r="G45" s="1130"/>
      <c r="H45" s="1130"/>
      <c r="I45" s="1130"/>
      <c r="J45" s="1130"/>
      <c r="K45" s="1130"/>
      <c r="L45" s="1130"/>
      <c r="M45" s="1130"/>
      <c r="N45" s="1130"/>
      <c r="O45" s="1130"/>
      <c r="P45" s="1130"/>
      <c r="Q45" s="1131"/>
    </row>
    <row r="46" spans="1:17">
      <c r="B46" s="344"/>
      <c r="C46" s="344"/>
      <c r="D46" s="1111"/>
      <c r="E46" s="1111"/>
      <c r="F46" s="1111"/>
      <c r="G46" s="1111"/>
      <c r="H46" s="1111"/>
      <c r="I46" s="1111"/>
      <c r="J46" s="1111"/>
      <c r="K46" s="1111"/>
      <c r="L46" s="1111"/>
      <c r="M46" s="1111"/>
      <c r="N46" s="1111"/>
      <c r="O46" s="1111"/>
      <c r="P46" s="1111"/>
      <c r="Q46" s="1111"/>
    </row>
  </sheetData>
  <mergeCells count="3">
    <mergeCell ref="A4:F4"/>
    <mergeCell ref="H4:M4"/>
    <mergeCell ref="B43:G43"/>
  </mergeCells>
  <pageMargins left="0.7" right="0.7" top="0.75" bottom="0.75" header="0.3" footer="0.3"/>
  <pageSetup paperSize="5"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L49"/>
  <sheetViews>
    <sheetView workbookViewId="0">
      <selection activeCell="G12" sqref="G12"/>
    </sheetView>
  </sheetViews>
  <sheetFormatPr defaultRowHeight="15"/>
  <cols>
    <col min="2" max="2" width="23.5546875" customWidth="1"/>
    <col min="3" max="3" width="43.77734375" customWidth="1"/>
    <col min="4" max="4" width="12.21875" bestFit="1" customWidth="1"/>
    <col min="9" max="9" width="10.77734375" bestFit="1" customWidth="1"/>
    <col min="10" max="10" width="15.44140625" customWidth="1"/>
  </cols>
  <sheetData>
    <row r="1" spans="1:10" ht="15.75">
      <c r="A1" s="679"/>
      <c r="B1" s="679" t="s">
        <v>467</v>
      </c>
      <c r="C1" s="680"/>
      <c r="D1" s="680"/>
      <c r="E1" s="680"/>
      <c r="F1" s="681" t="s">
        <v>370</v>
      </c>
      <c r="G1" s="680"/>
      <c r="H1" s="680"/>
      <c r="I1" s="680"/>
      <c r="J1" s="682"/>
    </row>
    <row r="2" spans="1:10">
      <c r="A2" s="679"/>
      <c r="B2" s="680" t="s">
        <v>390</v>
      </c>
      <c r="C2" s="680"/>
      <c r="D2" s="683" t="s">
        <v>8</v>
      </c>
      <c r="E2" s="683"/>
      <c r="F2" s="1069" t="s">
        <v>658</v>
      </c>
      <c r="G2" s="683"/>
      <c r="H2" s="683"/>
      <c r="I2" s="683"/>
      <c r="J2" s="684"/>
    </row>
    <row r="3" spans="1:10">
      <c r="A3" s="679"/>
      <c r="B3" s="685"/>
      <c r="C3" s="685"/>
      <c r="D3" s="685"/>
      <c r="E3" s="685"/>
      <c r="F3" s="685"/>
      <c r="G3" s="685"/>
      <c r="H3" s="685"/>
      <c r="I3" s="685"/>
      <c r="J3" s="685"/>
    </row>
    <row r="4" spans="1:10" ht="15.75">
      <c r="A4" s="679"/>
      <c r="B4" s="685"/>
      <c r="C4" s="685"/>
      <c r="D4" s="685"/>
      <c r="E4" s="685"/>
      <c r="F4" s="686" t="str">
        <f>+'1 - Revenue Credits'!A2</f>
        <v>MidAmerican Central California Transco, LLC</v>
      </c>
      <c r="G4" s="685"/>
      <c r="H4" s="685"/>
      <c r="I4" s="685"/>
      <c r="J4" s="685"/>
    </row>
    <row r="5" spans="1:10" ht="15.75">
      <c r="A5" s="751" t="s">
        <v>496</v>
      </c>
      <c r="B5" s="685"/>
      <c r="C5" s="685"/>
      <c r="D5" s="685"/>
      <c r="E5" s="685"/>
      <c r="F5" s="686"/>
      <c r="G5" s="685"/>
      <c r="H5" s="685"/>
      <c r="I5" s="685"/>
      <c r="J5" s="685"/>
    </row>
    <row r="6" spans="1:10" ht="15.75">
      <c r="A6" s="679"/>
      <c r="B6" s="687"/>
      <c r="C6" s="687"/>
      <c r="D6" s="687"/>
      <c r="E6" s="687"/>
      <c r="F6" s="687"/>
      <c r="G6" s="687"/>
      <c r="H6" s="687"/>
      <c r="I6" s="687"/>
      <c r="J6" s="713"/>
    </row>
    <row r="7" spans="1:10" ht="15.75">
      <c r="A7" s="679">
        <v>1</v>
      </c>
      <c r="B7" s="687" t="s">
        <v>371</v>
      </c>
      <c r="C7" s="687" t="s">
        <v>942</v>
      </c>
      <c r="D7" s="687"/>
      <c r="E7" s="687"/>
      <c r="F7" s="687"/>
      <c r="G7" s="687"/>
      <c r="H7" s="687"/>
      <c r="I7" s="687"/>
      <c r="J7" s="713">
        <f>+'Appendix III'!J89</f>
        <v>3587680.7926142882</v>
      </c>
    </row>
    <row r="8" spans="1:10" ht="15.75">
      <c r="A8" s="679"/>
      <c r="B8" s="687"/>
      <c r="C8" s="687"/>
      <c r="D8" s="687"/>
      <c r="E8" s="687"/>
      <c r="F8" s="687"/>
      <c r="G8" s="687"/>
      <c r="H8" s="687"/>
      <c r="I8" s="687"/>
      <c r="J8" s="713"/>
    </row>
    <row r="9" spans="1:10" ht="16.5" thickBot="1">
      <c r="A9" s="689">
        <f>+A7+1</f>
        <v>2</v>
      </c>
      <c r="B9" s="690" t="s">
        <v>372</v>
      </c>
      <c r="C9" s="691"/>
      <c r="D9" s="691"/>
      <c r="E9" s="691"/>
      <c r="F9" s="691"/>
      <c r="G9" s="691"/>
      <c r="H9" s="691"/>
      <c r="I9" s="692" t="s">
        <v>62</v>
      </c>
      <c r="J9" s="713"/>
    </row>
    <row r="10" spans="1:10" ht="15.75">
      <c r="A10" s="689"/>
      <c r="B10" s="693"/>
      <c r="C10" s="691"/>
      <c r="D10" s="691"/>
      <c r="E10" s="691"/>
      <c r="F10" s="691"/>
      <c r="G10" s="694" t="s">
        <v>68</v>
      </c>
      <c r="H10" s="691"/>
      <c r="I10" s="691"/>
      <c r="J10" s="713"/>
    </row>
    <row r="11" spans="1:10" ht="16.5" thickBot="1">
      <c r="A11" s="689"/>
      <c r="C11" s="693"/>
      <c r="D11" s="695" t="s">
        <v>62</v>
      </c>
      <c r="E11" s="695" t="s">
        <v>69</v>
      </c>
      <c r="F11" s="691"/>
      <c r="G11" s="1070" t="s">
        <v>497</v>
      </c>
      <c r="H11" s="691"/>
      <c r="I11" s="695" t="s">
        <v>70</v>
      </c>
      <c r="J11" s="713"/>
    </row>
    <row r="12" spans="1:10" ht="15.75">
      <c r="A12" s="689">
        <f>+A9+1</f>
        <v>3</v>
      </c>
      <c r="B12" s="690" t="s">
        <v>431</v>
      </c>
      <c r="C12" s="693" t="s">
        <v>943</v>
      </c>
      <c r="D12" s="699">
        <f>+'Appendix III'!E200</f>
        <v>0</v>
      </c>
      <c r="E12" s="688">
        <f>+'Appendix III'!F200</f>
        <v>0.48</v>
      </c>
      <c r="F12" s="697"/>
      <c r="G12" s="869">
        <f>+'Appendix III'!H200</f>
        <v>2.5740000000000002E-2</v>
      </c>
      <c r="H12" s="698"/>
      <c r="I12" s="856">
        <f>E12*G12</f>
        <v>1.23552E-2</v>
      </c>
      <c r="J12" s="713"/>
    </row>
    <row r="13" spans="1:10" ht="15.75">
      <c r="A13" s="689">
        <f>+A12+1</f>
        <v>4</v>
      </c>
      <c r="B13" s="690" t="s">
        <v>432</v>
      </c>
      <c r="C13" s="693" t="s">
        <v>944</v>
      </c>
      <c r="D13" s="699">
        <f>+'Appendix III'!E201</f>
        <v>0</v>
      </c>
      <c r="E13" s="688">
        <f>+'Appendix III'!F201</f>
        <v>0</v>
      </c>
      <c r="F13" s="697"/>
      <c r="G13" s="869">
        <f>+'Appendix III'!H201</f>
        <v>0</v>
      </c>
      <c r="H13" s="698"/>
      <c r="I13" s="856">
        <f>E13*G13</f>
        <v>0</v>
      </c>
      <c r="J13" s="713"/>
    </row>
    <row r="14" spans="1:10" ht="16.5" thickBot="1">
      <c r="A14" s="689">
        <f>+A13+1</f>
        <v>5</v>
      </c>
      <c r="B14" s="690" t="s">
        <v>945</v>
      </c>
      <c r="C14" s="698"/>
      <c r="D14" s="1509">
        <f>+'Appendix III'!E202</f>
        <v>3756346.9015384619</v>
      </c>
      <c r="E14" s="688">
        <f>+'Appendix III'!F202</f>
        <v>0.52</v>
      </c>
      <c r="F14" s="697"/>
      <c r="G14" s="869">
        <f>+'Appendix III'!H202+0.01</f>
        <v>0.11299999999999999</v>
      </c>
      <c r="H14" s="698"/>
      <c r="I14" s="857">
        <f>E14*G14</f>
        <v>5.876E-2</v>
      </c>
      <c r="J14" s="713"/>
    </row>
    <row r="15" spans="1:10" ht="15.75">
      <c r="A15" s="689">
        <f>+A14+1</f>
        <v>6</v>
      </c>
      <c r="B15" s="693" t="s">
        <v>458</v>
      </c>
      <c r="C15" s="698"/>
      <c r="D15" s="1510">
        <f>SUM(D12:D14)</f>
        <v>3756346.9015384619</v>
      </c>
      <c r="E15" s="691" t="s">
        <v>8</v>
      </c>
      <c r="F15" s="691"/>
      <c r="G15" s="691"/>
      <c r="H15" s="691"/>
      <c r="I15" s="856">
        <f>SUM(I12:I14)</f>
        <v>7.1115200000000003E-2</v>
      </c>
      <c r="J15" s="713"/>
    </row>
    <row r="16" spans="1:10" ht="15.75">
      <c r="A16" s="689">
        <f t="shared" ref="A16:A38" si="0">+A15+1</f>
        <v>7</v>
      </c>
      <c r="B16" s="693" t="s">
        <v>373</v>
      </c>
      <c r="C16" s="698"/>
      <c r="D16" s="699"/>
      <c r="E16" s="691"/>
      <c r="F16" s="691"/>
      <c r="G16" s="691"/>
      <c r="H16" s="691"/>
      <c r="I16" s="697"/>
      <c r="J16" s="713">
        <f>+I15*J7</f>
        <v>255138.63710292365</v>
      </c>
    </row>
    <row r="17" spans="1:12" ht="15.75">
      <c r="A17" s="689"/>
      <c r="B17" s="687"/>
      <c r="C17" s="687"/>
      <c r="D17" s="687"/>
      <c r="E17" s="687"/>
      <c r="F17" s="687"/>
      <c r="G17" s="687"/>
      <c r="H17" s="687"/>
      <c r="I17" s="687"/>
      <c r="J17" s="713"/>
    </row>
    <row r="18" spans="1:12" ht="15.75">
      <c r="A18" s="689">
        <f>+A16+1</f>
        <v>8</v>
      </c>
      <c r="B18" s="693" t="s">
        <v>53</v>
      </c>
      <c r="C18" s="700"/>
      <c r="D18" s="691"/>
      <c r="E18" s="691"/>
      <c r="F18" s="698"/>
      <c r="G18" s="701"/>
      <c r="H18" s="691"/>
      <c r="I18" s="698"/>
      <c r="J18" s="713"/>
    </row>
    <row r="19" spans="1:12" ht="15.75">
      <c r="A19" s="689">
        <f t="shared" si="0"/>
        <v>9</v>
      </c>
      <c r="B19" s="56" t="s">
        <v>54</v>
      </c>
      <c r="C19" s="11"/>
      <c r="D19" s="436">
        <f>+'Appendix III'!E141</f>
        <v>0.27983599999999997</v>
      </c>
      <c r="E19" s="691"/>
      <c r="F19" s="698"/>
      <c r="G19" s="701"/>
      <c r="H19" s="691"/>
      <c r="I19" s="698"/>
      <c r="J19" s="713"/>
    </row>
    <row r="20" spans="1:12" ht="15.75">
      <c r="A20" s="689">
        <f t="shared" si="0"/>
        <v>10</v>
      </c>
      <c r="B20" s="1" t="s">
        <v>55</v>
      </c>
      <c r="C20" s="11"/>
      <c r="D20" s="436">
        <f>IF(I15&gt;0,(D19/(1-D19))*(1-I12/I15),0)</f>
        <v>0.32106393776326453</v>
      </c>
      <c r="E20" s="691"/>
      <c r="F20" s="698"/>
      <c r="G20" s="701"/>
      <c r="H20" s="691"/>
      <c r="I20" s="698"/>
      <c r="J20" s="713"/>
    </row>
    <row r="21" spans="1:12" ht="15.75">
      <c r="A21" s="689">
        <f t="shared" si="0"/>
        <v>11</v>
      </c>
      <c r="B21" s="18" t="str">
        <f>"       where WCLTD=(line "&amp;A12&amp;") and R= (line "&amp;A15&amp;")"</f>
        <v xml:space="preserve">       where WCLTD=(line 3) and R= (line 6)</v>
      </c>
      <c r="C21" s="11"/>
      <c r="D21" s="11"/>
      <c r="E21" s="691"/>
      <c r="F21" s="698"/>
      <c r="G21" s="701"/>
      <c r="H21" s="691"/>
      <c r="I21" s="698"/>
      <c r="J21" s="713"/>
    </row>
    <row r="22" spans="1:12" ht="15.75">
      <c r="A22" s="689">
        <f t="shared" si="0"/>
        <v>12</v>
      </c>
      <c r="B22" s="18" t="str">
        <f>"       and FIT, SIT &amp; p are as given in footnote "&amp;'Appendix III'!A246&amp;" on Appendix III."</f>
        <v xml:space="preserve">       and FIT, SIT &amp; p are as given in footnote F on Appendix III.</v>
      </c>
      <c r="C22" s="11"/>
      <c r="D22" s="11"/>
      <c r="E22" s="691"/>
      <c r="F22" s="698"/>
      <c r="G22" s="701"/>
      <c r="H22" s="691"/>
      <c r="I22" s="698"/>
      <c r="J22" s="713"/>
    </row>
    <row r="23" spans="1:12" ht="15.75">
      <c r="A23" s="689">
        <f t="shared" si="0"/>
        <v>13</v>
      </c>
      <c r="B23" s="56" t="str">
        <f>"      1 / (1 - T)  = (T from line "&amp;A19&amp;")"</f>
        <v xml:space="preserve">      1 / (1 - T)  = (T from line 9)</v>
      </c>
      <c r="C23" s="11"/>
      <c r="D23" s="436">
        <f>IF(D19&gt;0,1/(1-D19),0)</f>
        <v>1.3885726029071155</v>
      </c>
      <c r="E23" s="691"/>
      <c r="F23" s="698"/>
      <c r="G23" s="701"/>
      <c r="H23" s="691"/>
      <c r="I23" s="698"/>
      <c r="J23" s="713"/>
    </row>
    <row r="24" spans="1:12" ht="15.75">
      <c r="A24" s="689">
        <f t="shared" si="0"/>
        <v>14</v>
      </c>
      <c r="B24" s="18" t="s">
        <v>56</v>
      </c>
      <c r="C24" s="11"/>
      <c r="D24" s="186">
        <f>+'Appendix III'!E146</f>
        <v>0</v>
      </c>
      <c r="E24" s="691"/>
      <c r="F24" s="698"/>
      <c r="G24" s="701"/>
      <c r="H24" s="691"/>
      <c r="I24" s="698"/>
      <c r="J24" s="713"/>
    </row>
    <row r="25" spans="1:12" ht="15.75">
      <c r="A25" s="689">
        <f t="shared" si="0"/>
        <v>15</v>
      </c>
      <c r="B25" s="18"/>
      <c r="C25" s="11"/>
      <c r="D25" s="175"/>
      <c r="E25" s="691"/>
      <c r="F25" s="698"/>
      <c r="G25" s="702"/>
      <c r="H25" s="691"/>
      <c r="I25" s="698"/>
      <c r="J25" s="713"/>
    </row>
    <row r="26" spans="1:12" ht="15.75">
      <c r="A26" s="689">
        <f t="shared" si="0"/>
        <v>16</v>
      </c>
      <c r="B26" s="56" t="str">
        <f>"Income Tax Calculation = line "&amp;A20&amp;" * line "&amp;A16&amp;""</f>
        <v>Income Tax Calculation = line 10 * line 7</v>
      </c>
      <c r="C26" s="57"/>
      <c r="D26" s="124">
        <f>+J16*D20</f>
        <v>81915.815503817212</v>
      </c>
      <c r="E26" s="691"/>
      <c r="F26" s="704"/>
      <c r="G26" s="705"/>
      <c r="H26" s="704"/>
      <c r="I26" s="175">
        <f>+J16*D20</f>
        <v>81915.815503817212</v>
      </c>
      <c r="J26" s="679"/>
    </row>
    <row r="27" spans="1:12" ht="15.75">
      <c r="A27" s="689">
        <f t="shared" si="0"/>
        <v>17</v>
      </c>
      <c r="B27" s="423" t="str">
        <f>"ITC adjustment (line "&amp;A23&amp;" * line "&amp;A24&amp;") and line 17 allocated on NP allocator"</f>
        <v>ITC adjustment (line 13 * line 14) and line 17 allocated on NP allocator</v>
      </c>
      <c r="C27" s="424"/>
      <c r="D27" s="419">
        <f>+D23*D24</f>
        <v>0</v>
      </c>
      <c r="E27" s="704"/>
      <c r="F27" s="707" t="s">
        <v>38</v>
      </c>
      <c r="G27" s="688">
        <f>+'Appendix III'!H70</f>
        <v>1</v>
      </c>
      <c r="H27" s="704"/>
      <c r="I27" s="702">
        <f>G27*D27</f>
        <v>0</v>
      </c>
      <c r="J27" s="713"/>
    </row>
    <row r="28" spans="1:12" ht="15.75">
      <c r="A28" s="689">
        <f t="shared" si="0"/>
        <v>18</v>
      </c>
      <c r="B28" s="59" t="s">
        <v>57</v>
      </c>
      <c r="C28" s="1" t="str">
        <f>"(line "&amp;A26&amp;" plus line "&amp;A27&amp;")"</f>
        <v>(line 16 plus line 17)</v>
      </c>
      <c r="D28" s="185">
        <f>+D27+D26</f>
        <v>81915.815503817212</v>
      </c>
      <c r="E28" s="704"/>
      <c r="J28" s="713">
        <f>+I27+I26</f>
        <v>81915.815503817212</v>
      </c>
    </row>
    <row r="29" spans="1:12" ht="15.75">
      <c r="A29" s="689"/>
      <c r="B29" s="696"/>
      <c r="C29" s="703"/>
      <c r="D29" s="706"/>
      <c r="E29" s="704"/>
      <c r="F29" s="707"/>
      <c r="G29" s="688"/>
      <c r="H29" s="704"/>
      <c r="I29" s="706"/>
      <c r="J29" s="713"/>
    </row>
    <row r="30" spans="1:12" ht="15.75">
      <c r="A30" s="689"/>
      <c r="B30" s="687"/>
      <c r="C30" s="687"/>
      <c r="D30" s="687"/>
      <c r="E30" s="687"/>
      <c r="F30" s="687"/>
      <c r="G30" s="687"/>
      <c r="H30" s="687"/>
      <c r="I30" s="687"/>
      <c r="J30" s="713"/>
      <c r="K30" s="687"/>
      <c r="L30" s="687"/>
    </row>
    <row r="31" spans="1:12" ht="15.75">
      <c r="A31" s="689">
        <f>+A28+1</f>
        <v>19</v>
      </c>
      <c r="B31" s="696" t="s">
        <v>374</v>
      </c>
      <c r="C31" s="687"/>
      <c r="D31" s="687"/>
      <c r="E31" s="687" t="s">
        <v>455</v>
      </c>
      <c r="F31" s="687"/>
      <c r="G31" s="687"/>
      <c r="H31" s="687"/>
      <c r="I31" s="687"/>
      <c r="J31" s="713">
        <f>+J28+J16</f>
        <v>337054.45260674087</v>
      </c>
      <c r="K31" s="687"/>
      <c r="L31" s="687"/>
    </row>
    <row r="32" spans="1:12" ht="15.75">
      <c r="A32" s="832"/>
      <c r="B32" s="687"/>
      <c r="C32" s="687"/>
      <c r="D32" s="687"/>
      <c r="E32" s="687"/>
      <c r="F32" s="687"/>
      <c r="G32" s="687"/>
      <c r="H32" s="687"/>
      <c r="I32" s="687"/>
      <c r="J32" s="713"/>
      <c r="K32" s="687"/>
      <c r="L32" s="687"/>
    </row>
    <row r="33" spans="1:12" ht="15.75">
      <c r="A33" s="832">
        <f>+A31+1</f>
        <v>20</v>
      </c>
      <c r="B33" s="687" t="str">
        <f>"Return    (Appendix III line "&amp;'Appendix III'!A153&amp;" col 5)"</f>
        <v>Return    (Appendix III line 64 col 5)</v>
      </c>
      <c r="C33" s="687"/>
      <c r="D33" s="687"/>
      <c r="E33" s="687"/>
      <c r="F33" s="687"/>
      <c r="G33" s="687"/>
      <c r="H33" s="687"/>
      <c r="I33" s="687"/>
      <c r="J33" s="713">
        <f>+'Appendix III'!J153</f>
        <v>236482.6969813293</v>
      </c>
      <c r="K33" s="687"/>
      <c r="L33" s="687"/>
    </row>
    <row r="34" spans="1:12" ht="15.75">
      <c r="A34" s="832">
        <f t="shared" si="0"/>
        <v>21</v>
      </c>
      <c r="B34" s="687" t="str">
        <f>"Income Tax    (Appendix III line "&amp;'Appendix III'!A150&amp;" col 5)"</f>
        <v>Income Tax    (Appendix III line 62 col 5)</v>
      </c>
      <c r="C34" s="687"/>
      <c r="D34" s="687"/>
      <c r="E34" s="687"/>
      <c r="F34" s="687"/>
      <c r="G34" s="687"/>
      <c r="H34" s="687"/>
      <c r="I34" s="687"/>
      <c r="J34" s="713">
        <f>+'Appendix III'!J150</f>
        <v>74666.628291090004</v>
      </c>
      <c r="K34" s="687"/>
      <c r="L34" s="687"/>
    </row>
    <row r="35" spans="1:12" ht="15.75">
      <c r="A35" s="832">
        <f t="shared" si="0"/>
        <v>22</v>
      </c>
      <c r="B35" s="696" t="s">
        <v>375</v>
      </c>
      <c r="C35" s="687"/>
      <c r="D35" s="687"/>
      <c r="E35" s="687" t="s">
        <v>421</v>
      </c>
      <c r="F35" s="687"/>
      <c r="G35" s="687"/>
      <c r="H35" s="687"/>
      <c r="I35" s="687"/>
      <c r="J35" s="1319">
        <f>+J33+J34</f>
        <v>311149.32527241932</v>
      </c>
      <c r="K35" s="687"/>
      <c r="L35" s="687"/>
    </row>
    <row r="36" spans="1:12" ht="15.75">
      <c r="A36" s="832">
        <f t="shared" si="0"/>
        <v>23</v>
      </c>
      <c r="B36" s="696" t="s">
        <v>376</v>
      </c>
      <c r="C36" s="687"/>
      <c r="D36" s="687"/>
      <c r="E36" s="687" t="s">
        <v>422</v>
      </c>
      <c r="F36" s="687"/>
      <c r="G36" s="687"/>
      <c r="H36" s="687"/>
      <c r="I36" s="687"/>
      <c r="J36" s="713">
        <f>+J31-J35</f>
        <v>25905.127334321558</v>
      </c>
      <c r="K36" s="687"/>
      <c r="L36" s="687"/>
    </row>
    <row r="37" spans="1:12" ht="15.75">
      <c r="A37" s="832">
        <f t="shared" si="0"/>
        <v>24</v>
      </c>
      <c r="B37" s="687" t="s">
        <v>397</v>
      </c>
      <c r="C37" s="687"/>
      <c r="D37" s="687"/>
      <c r="E37" s="687" t="str">
        <f>"Appendix III, line "&amp;'Appendix III'!A$212&amp;"a"</f>
        <v>Appendix III, line 88a</v>
      </c>
      <c r="F37" s="687"/>
      <c r="G37" s="687"/>
      <c r="H37" s="687"/>
      <c r="I37" s="687"/>
      <c r="J37" s="713">
        <f>+'Appendix III'!H212</f>
        <v>4836139.7842105255</v>
      </c>
      <c r="K37" s="687"/>
      <c r="L37" s="687"/>
    </row>
    <row r="38" spans="1:12" ht="15.75">
      <c r="A38" s="832">
        <f t="shared" si="0"/>
        <v>25</v>
      </c>
      <c r="B38" s="687" t="s">
        <v>389</v>
      </c>
      <c r="C38" s="687"/>
      <c r="D38" s="687"/>
      <c r="E38" s="687" t="s">
        <v>466</v>
      </c>
      <c r="F38" s="687"/>
      <c r="G38" s="687"/>
      <c r="H38" s="687"/>
      <c r="I38" s="687"/>
      <c r="J38" s="713">
        <f>IF(J37=0,0,J36/J37)</f>
        <v>5.3565712510831474E-3</v>
      </c>
      <c r="K38" s="687"/>
      <c r="L38" s="687"/>
    </row>
    <row r="39" spans="1:12" ht="15.75">
      <c r="A39" s="687"/>
      <c r="B39" s="687"/>
      <c r="C39" s="687"/>
      <c r="D39" s="687"/>
      <c r="E39" s="687"/>
      <c r="F39" s="687"/>
      <c r="G39" s="687"/>
      <c r="H39" s="687"/>
      <c r="I39" s="687"/>
      <c r="J39" s="713"/>
      <c r="K39" s="687"/>
      <c r="L39" s="687"/>
    </row>
    <row r="40" spans="1:12" ht="15.75">
      <c r="A40" s="123" t="s">
        <v>753</v>
      </c>
      <c r="B40" s="687"/>
      <c r="C40" s="687"/>
      <c r="D40" s="687"/>
      <c r="E40" s="687"/>
      <c r="F40" s="687"/>
      <c r="G40" s="687"/>
      <c r="H40" s="687"/>
      <c r="I40" s="687"/>
      <c r="J40" s="687"/>
      <c r="K40" s="687"/>
      <c r="L40" s="687"/>
    </row>
    <row r="41" spans="1:12" ht="15.75">
      <c r="A41" s="123" t="s">
        <v>751</v>
      </c>
      <c r="B41" s="687"/>
      <c r="C41" s="687"/>
      <c r="D41" s="687"/>
      <c r="E41" s="687"/>
      <c r="F41" s="687"/>
      <c r="G41" s="687"/>
      <c r="H41" s="687"/>
      <c r="I41" s="687"/>
      <c r="J41" s="687"/>
      <c r="K41" s="687"/>
      <c r="L41" s="687"/>
    </row>
    <row r="42" spans="1:12" ht="15.75">
      <c r="A42" s="123" t="s">
        <v>752</v>
      </c>
      <c r="B42" s="687"/>
      <c r="C42" s="687"/>
      <c r="D42" s="687"/>
      <c r="E42" s="687"/>
      <c r="F42" s="687"/>
      <c r="G42" s="687"/>
      <c r="H42" s="687"/>
      <c r="I42" s="687"/>
      <c r="J42" s="687"/>
      <c r="K42" s="687"/>
      <c r="L42" s="687"/>
    </row>
    <row r="43" spans="1:12" ht="15.75">
      <c r="A43" s="123"/>
      <c r="B43" s="687"/>
      <c r="C43" s="687"/>
      <c r="D43" s="687"/>
      <c r="E43" s="687"/>
      <c r="F43" s="687"/>
      <c r="G43" s="687"/>
      <c r="H43" s="687"/>
      <c r="I43" s="687"/>
      <c r="J43" s="687"/>
      <c r="K43" s="687"/>
      <c r="L43" s="687"/>
    </row>
    <row r="44" spans="1:12" ht="15.75">
      <c r="A44" s="1068"/>
      <c r="B44" s="687" t="s">
        <v>599</v>
      </c>
    </row>
    <row r="45" spans="1:12" ht="15.75">
      <c r="A45" s="1068"/>
      <c r="B45" s="962" t="s">
        <v>600</v>
      </c>
      <c r="C45" s="963" t="s">
        <v>459</v>
      </c>
    </row>
    <row r="46" spans="1:12">
      <c r="A46" s="1068"/>
      <c r="B46" s="964"/>
      <c r="C46" s="964"/>
    </row>
    <row r="47" spans="1:12">
      <c r="A47" s="1068"/>
      <c r="B47" s="964"/>
      <c r="C47" s="964"/>
    </row>
    <row r="48" spans="1:12">
      <c r="A48" s="1068"/>
      <c r="B48" s="964"/>
      <c r="C48" s="964"/>
    </row>
    <row r="49" spans="1:1">
      <c r="A49" s="1068"/>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L238"/>
  <sheetViews>
    <sheetView workbookViewId="0">
      <selection activeCell="G37" sqref="G37"/>
    </sheetView>
  </sheetViews>
  <sheetFormatPr defaultColWidth="8.77734375" defaultRowHeight="12.75"/>
  <cols>
    <col min="1" max="1" width="8.77734375" style="121"/>
    <col min="2" max="2" width="33.44140625" style="123" customWidth="1"/>
    <col min="3" max="3" width="10.5546875" style="119" customWidth="1"/>
    <col min="4" max="4" width="12.77734375" style="121" customWidth="1"/>
    <col min="5" max="5" width="14.77734375" style="121" bestFit="1" customWidth="1"/>
    <col min="6" max="6" width="12.777343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77734375" style="119"/>
  </cols>
  <sheetData>
    <row r="1" spans="1:12">
      <c r="A1" s="770"/>
      <c r="B1" s="771"/>
      <c r="C1" s="772"/>
      <c r="D1" s="770"/>
      <c r="E1" s="770"/>
      <c r="F1" s="772"/>
      <c r="G1" s="772"/>
      <c r="H1" s="772"/>
      <c r="I1" s="772"/>
      <c r="J1" s="772"/>
      <c r="K1" s="772"/>
    </row>
    <row r="2" spans="1:12" ht="18.75">
      <c r="A2" s="810" t="s">
        <v>287</v>
      </c>
      <c r="B2" s="810"/>
      <c r="C2" s="810"/>
      <c r="D2" s="810"/>
      <c r="E2" s="810"/>
      <c r="F2" s="810"/>
      <c r="G2" s="810"/>
      <c r="H2" s="810"/>
      <c r="I2" s="810"/>
      <c r="J2" s="810"/>
      <c r="K2" s="772"/>
    </row>
    <row r="3" spans="1:12" ht="18.75">
      <c r="A3" s="810" t="str">
        <f>'Appendix III'!$E$8</f>
        <v>MidAmerican Central California Transco, LLC</v>
      </c>
      <c r="B3" s="810"/>
      <c r="C3" s="810"/>
      <c r="D3" s="810"/>
      <c r="E3" s="810"/>
      <c r="F3" s="810"/>
      <c r="G3" s="810"/>
      <c r="H3" s="810"/>
      <c r="I3" s="810"/>
      <c r="J3" s="810"/>
      <c r="K3" s="772"/>
    </row>
    <row r="4" spans="1:12">
      <c r="A4" s="770"/>
      <c r="B4" s="771"/>
      <c r="C4" s="772"/>
      <c r="D4" s="770"/>
      <c r="E4" s="770"/>
      <c r="F4" s="772"/>
      <c r="G4" s="772"/>
      <c r="H4" s="773"/>
      <c r="I4" s="773"/>
      <c r="J4" s="770"/>
      <c r="K4" s="772"/>
    </row>
    <row r="5" spans="1:12" ht="15.75">
      <c r="A5" s="833">
        <v>1</v>
      </c>
      <c r="B5" s="714" t="s">
        <v>955</v>
      </c>
      <c r="C5" s="729"/>
      <c r="D5" s="714"/>
      <c r="E5" s="714"/>
      <c r="F5" s="733"/>
      <c r="G5" s="730" t="s">
        <v>761</v>
      </c>
      <c r="I5" s="730"/>
      <c r="J5" s="1492">
        <f>+'Appendix III'!J155</f>
        <v>3873015.6725025168</v>
      </c>
      <c r="K5" s="772"/>
    </row>
    <row r="6" spans="1:12" ht="15.75">
      <c r="A6" s="833">
        <v>2</v>
      </c>
      <c r="B6" s="714" t="s">
        <v>429</v>
      </c>
      <c r="C6" s="729"/>
      <c r="D6" s="714"/>
      <c r="E6" s="714"/>
      <c r="F6" s="733"/>
      <c r="G6" s="731" t="s">
        <v>1035</v>
      </c>
      <c r="I6" s="730"/>
      <c r="J6" s="1492">
        <f>+'Appendix III'!E125+'Appendix III'!E127+'2a - Cost Support'!E140*'2a - Cost Support'!E141</f>
        <v>1934455.2799999998</v>
      </c>
      <c r="K6" s="772"/>
    </row>
    <row r="7" spans="1:12" ht="15.75">
      <c r="A7" s="833">
        <v>3</v>
      </c>
      <c r="B7" s="714" t="s">
        <v>392</v>
      </c>
      <c r="C7" s="729"/>
      <c r="D7" s="714"/>
      <c r="E7" s="714"/>
      <c r="F7" s="733"/>
      <c r="G7" s="732" t="s">
        <v>463</v>
      </c>
      <c r="I7" s="730"/>
      <c r="J7" s="1492">
        <f>+J5-J6</f>
        <v>1938560.392502517</v>
      </c>
      <c r="K7" s="772"/>
    </row>
    <row r="8" spans="1:12" ht="15.75">
      <c r="A8" s="833">
        <v>4</v>
      </c>
      <c r="B8" s="687" t="s">
        <v>522</v>
      </c>
      <c r="C8" s="729"/>
      <c r="D8" s="714"/>
      <c r="E8" s="714"/>
      <c r="F8" s="733"/>
      <c r="G8" s="732" t="str">
        <f>"(Appendix III, line "&amp;'Appendix III'!A212&amp;" (a))"</f>
        <v>(Appendix III, line 88 (a))</v>
      </c>
      <c r="I8" s="731"/>
      <c r="J8" s="1492">
        <f>+'Appendix III'!H212</f>
        <v>4836139.7842105255</v>
      </c>
      <c r="K8" s="772"/>
    </row>
    <row r="9" spans="1:12" ht="15.75">
      <c r="A9" s="833">
        <v>5</v>
      </c>
      <c r="B9" s="715" t="s">
        <v>385</v>
      </c>
      <c r="C9" s="729"/>
      <c r="E9" s="714"/>
      <c r="F9" s="733"/>
      <c r="G9" s="714" t="s">
        <v>462</v>
      </c>
      <c r="I9" s="841"/>
      <c r="J9" s="841">
        <f>IF(J8=0,0,J7/J8)</f>
        <v>0.40084870971507225</v>
      </c>
      <c r="K9" s="772"/>
    </row>
    <row r="10" spans="1:12" ht="15.75">
      <c r="A10" s="833">
        <v>6</v>
      </c>
      <c r="B10" s="687" t="s">
        <v>389</v>
      </c>
      <c r="C10" s="729"/>
      <c r="D10" s="855"/>
      <c r="E10" s="714"/>
      <c r="F10" s="733"/>
      <c r="G10" s="714" t="s">
        <v>494</v>
      </c>
      <c r="I10" s="842"/>
      <c r="J10" s="842">
        <f>+'3 - Incentives'!J38</f>
        <v>5.3565712510831474E-3</v>
      </c>
      <c r="K10" s="772"/>
    </row>
    <row r="11" spans="1:12" ht="15.75">
      <c r="A11" s="833"/>
      <c r="B11" s="771"/>
      <c r="C11" s="774"/>
      <c r="D11" s="770"/>
      <c r="E11" s="770"/>
      <c r="F11" s="772"/>
      <c r="G11" s="772"/>
      <c r="H11" s="772"/>
      <c r="I11" s="772"/>
      <c r="J11" s="772"/>
      <c r="K11" s="772"/>
    </row>
    <row r="12" spans="1:12">
      <c r="A12" s="833"/>
      <c r="B12" s="771"/>
      <c r="C12" s="775"/>
      <c r="D12" s="770"/>
      <c r="E12" s="770"/>
      <c r="F12" s="772"/>
      <c r="G12" s="772"/>
      <c r="H12" s="772"/>
      <c r="I12" s="772"/>
      <c r="J12" s="772"/>
      <c r="K12" s="772"/>
    </row>
    <row r="13" spans="1:12">
      <c r="A13" s="833"/>
      <c r="B13" s="771"/>
      <c r="C13" s="775"/>
      <c r="D13" s="770"/>
      <c r="E13" s="770"/>
      <c r="F13" s="772"/>
      <c r="G13" s="772"/>
      <c r="H13" s="772"/>
      <c r="I13" s="772"/>
      <c r="J13" s="772"/>
      <c r="K13" s="772"/>
    </row>
    <row r="14" spans="1:12">
      <c r="A14" s="833"/>
      <c r="B14" s="771"/>
      <c r="C14" s="772"/>
      <c r="D14" s="770"/>
      <c r="E14" s="770"/>
      <c r="F14" s="772"/>
      <c r="G14" s="772"/>
      <c r="H14" s="772"/>
      <c r="I14" s="772"/>
      <c r="J14" s="772"/>
      <c r="K14" s="772"/>
    </row>
    <row r="15" spans="1:12">
      <c r="A15" s="833"/>
      <c r="B15" s="776" t="s">
        <v>399</v>
      </c>
      <c r="C15" s="776" t="s">
        <v>400</v>
      </c>
      <c r="D15" s="776" t="s">
        <v>401</v>
      </c>
      <c r="E15" s="776" t="s">
        <v>402</v>
      </c>
      <c r="F15" s="776" t="s">
        <v>403</v>
      </c>
      <c r="G15" s="776" t="s">
        <v>404</v>
      </c>
      <c r="H15" s="776" t="s">
        <v>405</v>
      </c>
      <c r="I15" s="776" t="s">
        <v>406</v>
      </c>
      <c r="J15" s="776" t="s">
        <v>407</v>
      </c>
      <c r="K15" s="776" t="s">
        <v>495</v>
      </c>
      <c r="L15" s="724"/>
    </row>
    <row r="16" spans="1:12">
      <c r="A16" s="833"/>
      <c r="B16" s="771"/>
      <c r="C16" s="772"/>
      <c r="D16" s="770"/>
      <c r="E16" s="770"/>
      <c r="F16" s="772"/>
      <c r="G16" s="845"/>
      <c r="H16" s="846"/>
      <c r="I16" s="846"/>
      <c r="J16" s="847"/>
      <c r="K16" s="847"/>
    </row>
    <row r="17" spans="1:12" ht="51">
      <c r="A17" s="834"/>
      <c r="B17" s="777" t="s">
        <v>499</v>
      </c>
      <c r="C17" s="778" t="s">
        <v>386</v>
      </c>
      <c r="D17" s="779" t="s">
        <v>383</v>
      </c>
      <c r="E17" s="779" t="s">
        <v>393</v>
      </c>
      <c r="F17" s="779" t="s">
        <v>408</v>
      </c>
      <c r="G17" s="1587" t="s">
        <v>419</v>
      </c>
      <c r="H17" s="1588"/>
      <c r="I17" s="1589"/>
      <c r="J17" s="780" t="s">
        <v>420</v>
      </c>
      <c r="K17" s="780" t="s">
        <v>525</v>
      </c>
    </row>
    <row r="18" spans="1:12" ht="40.5" customHeight="1">
      <c r="A18" s="834"/>
      <c r="B18" s="781"/>
      <c r="C18" s="782"/>
      <c r="D18" s="782" t="s">
        <v>523</v>
      </c>
      <c r="E18" s="782" t="s">
        <v>384</v>
      </c>
      <c r="F18" s="782" t="s">
        <v>136</v>
      </c>
      <c r="G18" s="783" t="s">
        <v>423</v>
      </c>
      <c r="H18" s="784" t="s">
        <v>426</v>
      </c>
      <c r="I18" s="785" t="s">
        <v>272</v>
      </c>
      <c r="J18" s="785" t="s">
        <v>272</v>
      </c>
      <c r="K18" s="785" t="s">
        <v>526</v>
      </c>
    </row>
    <row r="19" spans="1:12">
      <c r="A19" s="834"/>
      <c r="B19" s="786"/>
      <c r="C19" s="787"/>
      <c r="D19" s="787"/>
      <c r="E19" s="787"/>
      <c r="F19" s="787"/>
      <c r="G19" s="788"/>
      <c r="H19" s="789"/>
      <c r="I19" s="790" t="s">
        <v>424</v>
      </c>
      <c r="J19" s="790" t="s">
        <v>425</v>
      </c>
      <c r="K19" s="790"/>
    </row>
    <row r="20" spans="1:12">
      <c r="A20" s="834"/>
      <c r="B20" s="786"/>
      <c r="C20" s="787"/>
      <c r="D20" s="787"/>
      <c r="E20" s="787"/>
      <c r="F20" s="787"/>
      <c r="G20" s="788"/>
      <c r="H20" s="789"/>
      <c r="I20" s="791"/>
      <c r="J20" s="791"/>
      <c r="K20" s="791"/>
    </row>
    <row r="21" spans="1:12">
      <c r="A21" s="833" t="s">
        <v>409</v>
      </c>
      <c r="B21" s="792" t="s">
        <v>1100</v>
      </c>
      <c r="C21" s="793"/>
      <c r="D21" s="794"/>
      <c r="E21" s="840">
        <f>$J$9</f>
        <v>0.40084870971507225</v>
      </c>
      <c r="F21" s="843">
        <f t="shared" ref="F21:F29" si="0">+J$10*D21/100+E21</f>
        <v>0.40084870971507225</v>
      </c>
      <c r="G21" s="795">
        <f>'11 - Reg. Assets and Abnd Plnt'!AD7</f>
        <v>1234544.4589999998</v>
      </c>
      <c r="H21" s="796">
        <f>'11 - Reg. Assets and Abnd Plnt'!P7</f>
        <v>493817.69400000002</v>
      </c>
      <c r="I21" s="1494">
        <f>+E21*G21+H21</f>
        <v>988683.24747604178</v>
      </c>
      <c r="J21" s="1495">
        <f>+F21*G21+H21</f>
        <v>988683.24747604178</v>
      </c>
      <c r="K21" s="797">
        <f t="shared" ref="K21:K29" si="1">+J21-I21</f>
        <v>0</v>
      </c>
      <c r="L21" s="811"/>
    </row>
    <row r="22" spans="1:12">
      <c r="A22" s="833" t="s">
        <v>410</v>
      </c>
      <c r="B22" s="792" t="s">
        <v>1101</v>
      </c>
      <c r="C22" s="798"/>
      <c r="D22" s="794">
        <v>-50</v>
      </c>
      <c r="E22" s="840">
        <f t="shared" ref="E22:E24" si="2">$J$9</f>
        <v>0.40084870971507225</v>
      </c>
      <c r="F22" s="843">
        <f t="shared" si="0"/>
        <v>0.39817042408953068</v>
      </c>
      <c r="G22" s="795">
        <f>'11 - Reg. Assets and Abnd Plnt'!AD8</f>
        <v>3601595.4757894729</v>
      </c>
      <c r="H22" s="796">
        <f>'11 - Reg. Assets and Abnd Plnt'!P8</f>
        <v>1440638.1894736844</v>
      </c>
      <c r="I22" s="799">
        <f t="shared" ref="I22:I29" si="3">+E22*G22+H22</f>
        <v>2884333.0888595367</v>
      </c>
      <c r="J22" s="797">
        <f>+F22*G22+H22</f>
        <v>2874686.9874677137</v>
      </c>
      <c r="K22" s="797">
        <f t="shared" si="1"/>
        <v>-9646.101391823031</v>
      </c>
    </row>
    <row r="23" spans="1:12">
      <c r="A23" s="833" t="s">
        <v>411</v>
      </c>
      <c r="B23" s="792" t="s">
        <v>1102</v>
      </c>
      <c r="C23" s="798"/>
      <c r="D23" s="794">
        <v>0</v>
      </c>
      <c r="E23" s="840">
        <f t="shared" si="2"/>
        <v>0.40084870971507225</v>
      </c>
      <c r="F23" s="813">
        <f t="shared" si="0"/>
        <v>0.40084870971507225</v>
      </c>
      <c r="G23" s="801">
        <v>0</v>
      </c>
      <c r="H23" s="798">
        <v>0</v>
      </c>
      <c r="I23" s="799">
        <f t="shared" si="3"/>
        <v>0</v>
      </c>
      <c r="J23" s="797">
        <f t="shared" ref="J23:J29" si="4">+F23*G23+H23</f>
        <v>0</v>
      </c>
      <c r="K23" s="797">
        <f t="shared" si="1"/>
        <v>0</v>
      </c>
      <c r="L23" s="811"/>
    </row>
    <row r="24" spans="1:12">
      <c r="A24" s="833" t="s">
        <v>412</v>
      </c>
      <c r="B24" s="792" t="s">
        <v>1103</v>
      </c>
      <c r="C24" s="798"/>
      <c r="D24" s="794">
        <v>0</v>
      </c>
      <c r="E24" s="840">
        <f t="shared" si="2"/>
        <v>0.40084870971507225</v>
      </c>
      <c r="F24" s="813">
        <f t="shared" si="0"/>
        <v>0.40084870971507225</v>
      </c>
      <c r="G24" s="801">
        <v>0</v>
      </c>
      <c r="H24" s="798">
        <v>0</v>
      </c>
      <c r="I24" s="799">
        <f t="shared" si="3"/>
        <v>0</v>
      </c>
      <c r="J24" s="797">
        <f t="shared" si="4"/>
        <v>0</v>
      </c>
      <c r="K24" s="797">
        <f t="shared" si="1"/>
        <v>0</v>
      </c>
      <c r="L24" s="811"/>
    </row>
    <row r="25" spans="1:12">
      <c r="A25" s="833" t="s">
        <v>413</v>
      </c>
      <c r="B25" s="802"/>
      <c r="C25" s="798"/>
      <c r="D25" s="798"/>
      <c r="E25" s="800"/>
      <c r="F25" s="813">
        <f t="shared" si="0"/>
        <v>0</v>
      </c>
      <c r="G25" s="801">
        <v>0</v>
      </c>
      <c r="H25" s="798">
        <v>0</v>
      </c>
      <c r="I25" s="799">
        <f t="shared" si="3"/>
        <v>0</v>
      </c>
      <c r="J25" s="797">
        <f t="shared" si="4"/>
        <v>0</v>
      </c>
      <c r="K25" s="797">
        <f t="shared" si="1"/>
        <v>0</v>
      </c>
      <c r="L25" s="811"/>
    </row>
    <row r="26" spans="1:12">
      <c r="A26" s="833" t="s">
        <v>414</v>
      </c>
      <c r="B26" s="802"/>
      <c r="C26" s="798"/>
      <c r="D26" s="798"/>
      <c r="E26" s="798"/>
      <c r="F26" s="813">
        <f t="shared" si="0"/>
        <v>0</v>
      </c>
      <c r="G26" s="803">
        <v>0</v>
      </c>
      <c r="H26" s="798">
        <v>0</v>
      </c>
      <c r="I26" s="799">
        <f t="shared" si="3"/>
        <v>0</v>
      </c>
      <c r="J26" s="797">
        <f t="shared" si="4"/>
        <v>0</v>
      </c>
      <c r="K26" s="797">
        <f t="shared" si="1"/>
        <v>0</v>
      </c>
    </row>
    <row r="27" spans="1:12">
      <c r="A27" s="833" t="s">
        <v>415</v>
      </c>
      <c r="B27" s="802"/>
      <c r="C27" s="798"/>
      <c r="D27" s="798"/>
      <c r="E27" s="798"/>
      <c r="F27" s="813">
        <f t="shared" si="0"/>
        <v>0</v>
      </c>
      <c r="G27" s="803">
        <v>0</v>
      </c>
      <c r="H27" s="798">
        <v>0</v>
      </c>
      <c r="I27" s="799">
        <f t="shared" si="3"/>
        <v>0</v>
      </c>
      <c r="J27" s="797">
        <f t="shared" si="4"/>
        <v>0</v>
      </c>
      <c r="K27" s="797">
        <f t="shared" si="1"/>
        <v>0</v>
      </c>
    </row>
    <row r="28" spans="1:12">
      <c r="A28" s="833" t="s">
        <v>416</v>
      </c>
      <c r="B28" s="802"/>
      <c r="C28" s="798"/>
      <c r="D28" s="798"/>
      <c r="E28" s="798"/>
      <c r="F28" s="813">
        <f t="shared" si="0"/>
        <v>0</v>
      </c>
      <c r="G28" s="803">
        <v>0</v>
      </c>
      <c r="H28" s="798">
        <v>0</v>
      </c>
      <c r="I28" s="799">
        <f t="shared" si="3"/>
        <v>0</v>
      </c>
      <c r="J28" s="797">
        <f t="shared" si="4"/>
        <v>0</v>
      </c>
      <c r="K28" s="797">
        <f t="shared" si="1"/>
        <v>0</v>
      </c>
    </row>
    <row r="29" spans="1:12">
      <c r="A29" s="833" t="s">
        <v>417</v>
      </c>
      <c r="B29" s="802"/>
      <c r="C29" s="798"/>
      <c r="D29" s="798"/>
      <c r="E29" s="798"/>
      <c r="F29" s="813">
        <f t="shared" si="0"/>
        <v>0</v>
      </c>
      <c r="G29" s="803">
        <v>0</v>
      </c>
      <c r="H29" s="798">
        <v>0</v>
      </c>
      <c r="I29" s="799">
        <f t="shared" si="3"/>
        <v>0</v>
      </c>
      <c r="J29" s="797">
        <f t="shared" si="4"/>
        <v>0</v>
      </c>
      <c r="K29" s="797">
        <f t="shared" si="1"/>
        <v>0</v>
      </c>
    </row>
    <row r="30" spans="1:12">
      <c r="A30" s="833">
        <v>8</v>
      </c>
      <c r="B30" s="804" t="s">
        <v>21</v>
      </c>
      <c r="C30" s="772"/>
      <c r="D30" s="770"/>
      <c r="E30" s="770"/>
      <c r="F30" s="772"/>
      <c r="G30" s="805">
        <f>SUM(G21:G29)</f>
        <v>4836139.9347894732</v>
      </c>
      <c r="H30" s="806">
        <f>SUM(H21:H29)</f>
        <v>1934455.8834736845</v>
      </c>
      <c r="I30" s="807">
        <f>SUM(I21:I29)</f>
        <v>3873016.3363355785</v>
      </c>
      <c r="J30" s="808">
        <f>SUM(J21:J29)</f>
        <v>3863370.2349437554</v>
      </c>
      <c r="K30" s="808">
        <f>SUM(K21:K29)</f>
        <v>-9646.101391823031</v>
      </c>
      <c r="L30" s="844"/>
    </row>
    <row r="31" spans="1:12" ht="23.25" customHeight="1">
      <c r="A31" s="833">
        <v>9</v>
      </c>
      <c r="B31" s="771" t="s">
        <v>1029</v>
      </c>
      <c r="C31" s="772"/>
      <c r="D31" s="770"/>
      <c r="E31" s="770"/>
      <c r="F31" s="772"/>
      <c r="G31" s="809" t="s">
        <v>427</v>
      </c>
      <c r="H31" s="809" t="s">
        <v>465</v>
      </c>
      <c r="I31" s="809" t="s">
        <v>464</v>
      </c>
      <c r="J31" s="809" t="s">
        <v>428</v>
      </c>
      <c r="K31" s="809" t="s">
        <v>940</v>
      </c>
      <c r="L31" s="844"/>
    </row>
    <row r="32" spans="1:12">
      <c r="A32" s="833"/>
      <c r="B32" s="771"/>
      <c r="C32" s="772"/>
      <c r="D32" s="770"/>
      <c r="E32" s="770"/>
      <c r="F32" s="772"/>
      <c r="G32" s="772"/>
      <c r="H32" s="772"/>
      <c r="I32" s="772"/>
      <c r="J32" s="772"/>
      <c r="K32" s="772"/>
    </row>
    <row r="33" spans="1:11">
      <c r="A33" s="770"/>
      <c r="B33" s="771"/>
      <c r="C33" s="772"/>
      <c r="D33" s="770"/>
      <c r="E33" s="770"/>
      <c r="F33" s="772"/>
      <c r="G33" s="772"/>
      <c r="H33" s="772"/>
      <c r="I33" s="772"/>
      <c r="J33" s="772"/>
      <c r="K33" s="772"/>
    </row>
    <row r="34" spans="1:11">
      <c r="A34" s="771" t="s">
        <v>418</v>
      </c>
      <c r="B34" s="771"/>
      <c r="C34" s="772"/>
      <c r="D34" s="770"/>
      <c r="E34" s="770"/>
      <c r="F34" s="772"/>
      <c r="G34" s="772"/>
      <c r="H34" s="772"/>
      <c r="I34" s="772"/>
      <c r="J34" s="772"/>
      <c r="K34" s="772"/>
    </row>
    <row r="35" spans="1:11">
      <c r="A35" s="771" t="s">
        <v>485</v>
      </c>
      <c r="B35" s="771"/>
      <c r="C35" s="772"/>
      <c r="D35" s="770"/>
      <c r="E35" s="770"/>
      <c r="F35" s="772"/>
      <c r="G35" s="772"/>
      <c r="H35" s="772"/>
      <c r="I35" s="772"/>
      <c r="J35" s="772"/>
      <c r="K35" s="772"/>
    </row>
    <row r="36" spans="1:11">
      <c r="A36" s="123" t="s">
        <v>524</v>
      </c>
    </row>
    <row r="37" spans="1:11" ht="15.75">
      <c r="A37" s="1152"/>
      <c r="B37" s="687" t="s">
        <v>599</v>
      </c>
      <c r="C37"/>
      <c r="I37" s="726"/>
      <c r="J37" s="726"/>
    </row>
    <row r="38" spans="1:11" ht="15.75">
      <c r="A38" s="1152"/>
      <c r="B38" s="962" t="s">
        <v>600</v>
      </c>
      <c r="C38" s="1591" t="s">
        <v>459</v>
      </c>
      <c r="D38" s="1591"/>
    </row>
    <row r="39" spans="1:11" ht="15">
      <c r="A39" s="1152"/>
      <c r="B39" s="964" t="s">
        <v>1104</v>
      </c>
      <c r="C39" s="1590" t="s">
        <v>1105</v>
      </c>
      <c r="D39" s="1590"/>
    </row>
    <row r="40" spans="1:11" ht="15">
      <c r="A40" s="1152"/>
      <c r="B40" s="964"/>
      <c r="C40" s="1590"/>
      <c r="D40" s="1590"/>
    </row>
    <row r="41" spans="1:11" ht="15">
      <c r="A41" s="1152"/>
      <c r="B41" s="964"/>
      <c r="C41" s="1590"/>
      <c r="D41" s="1590"/>
    </row>
    <row r="42" spans="1:11">
      <c r="A42" s="969" t="s">
        <v>621</v>
      </c>
      <c r="B42" s="968"/>
      <c r="C42" s="968"/>
    </row>
    <row r="47" spans="1:11">
      <c r="I47" s="725">
        <f>+'Appendix III'!J155</f>
        <v>3873015.6725025168</v>
      </c>
      <c r="J47" s="844">
        <f>+'Appendix III'!J159</f>
        <v>3863369.5711106937</v>
      </c>
      <c r="K47" s="844">
        <f>+'Appendix III'!J157</f>
        <v>-9646.101391823031</v>
      </c>
    </row>
    <row r="78" spans="3:4">
      <c r="C78" s="368" t="s">
        <v>8</v>
      </c>
      <c r="D78" s="164"/>
    </row>
    <row r="228" spans="1:8">
      <c r="H228" s="862"/>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25"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M188"/>
  <sheetViews>
    <sheetView workbookViewId="0">
      <selection activeCell="I46" sqref="I46"/>
    </sheetView>
  </sheetViews>
  <sheetFormatPr defaultColWidth="8.77734375" defaultRowHeight="12.75"/>
  <cols>
    <col min="1" max="1" width="5.44140625" style="1063" customWidth="1"/>
    <col min="2" max="2" width="21.44140625" style="1062" customWidth="1"/>
    <col min="3" max="3" width="12.109375" style="1062" bestFit="1" customWidth="1"/>
    <col min="4" max="4" width="12.109375" style="1062" customWidth="1"/>
    <col min="5" max="5" width="11" style="1062" customWidth="1"/>
    <col min="6" max="6" width="13.44140625" style="1062" customWidth="1"/>
    <col min="7" max="7" width="14.109375" style="1062" customWidth="1"/>
    <col min="8" max="8" width="12.21875" style="1062" customWidth="1"/>
    <col min="9" max="9" width="14.109375" style="1062" customWidth="1"/>
    <col min="10" max="10" width="24.21875" style="1062" customWidth="1"/>
    <col min="11" max="11" width="7.21875" style="1062" customWidth="1"/>
    <col min="12" max="12" width="12.21875" style="1062" customWidth="1"/>
    <col min="13" max="13" width="8.109375" style="1062" customWidth="1"/>
    <col min="14" max="14" width="7.77734375" style="1062" bestFit="1" customWidth="1"/>
    <col min="15" max="15" width="11.77734375" style="1062" bestFit="1" customWidth="1"/>
    <col min="16" max="16" width="10.77734375" style="1062" bestFit="1" customWidth="1"/>
    <col min="17" max="16384" width="8.77734375" style="1062"/>
  </cols>
  <sheetData>
    <row r="1" spans="1:11" s="970" customFormat="1" ht="15" customHeight="1">
      <c r="A1" s="1596" t="s">
        <v>657</v>
      </c>
      <c r="B1" s="1596"/>
      <c r="C1" s="1596"/>
      <c r="D1" s="1596"/>
      <c r="E1" s="1596"/>
      <c r="F1" s="1596"/>
      <c r="G1" s="1596"/>
      <c r="H1" s="1596"/>
      <c r="I1" s="1596"/>
      <c r="J1" s="1596"/>
    </row>
    <row r="2" spans="1:11" s="970" customFormat="1">
      <c r="A2" s="1596" t="s">
        <v>622</v>
      </c>
      <c r="B2" s="1596"/>
      <c r="C2" s="1596"/>
      <c r="D2" s="1596"/>
      <c r="E2" s="1596"/>
      <c r="F2" s="1596"/>
      <c r="G2" s="1596"/>
      <c r="H2" s="1596"/>
      <c r="I2" s="1596"/>
      <c r="J2" s="1596"/>
    </row>
    <row r="3" spans="1:11" s="970" customFormat="1" ht="15" customHeight="1">
      <c r="A3" s="1597" t="str">
        <f>+'Appendix III'!E8</f>
        <v>MidAmerican Central California Transco, LLC</v>
      </c>
      <c r="B3" s="1597"/>
      <c r="C3" s="1597"/>
      <c r="D3" s="1597"/>
      <c r="E3" s="1597"/>
      <c r="F3" s="1597"/>
      <c r="G3" s="1597"/>
      <c r="H3" s="1597"/>
      <c r="I3" s="1597"/>
      <c r="J3" s="1597"/>
      <c r="K3" s="971"/>
    </row>
    <row r="4" spans="1:11" s="970" customFormat="1">
      <c r="A4" s="972"/>
      <c r="K4" s="971"/>
    </row>
    <row r="5" spans="1:11" s="970" customFormat="1">
      <c r="A5" s="973"/>
      <c r="B5" s="971"/>
      <c r="C5" s="971"/>
      <c r="D5" s="971"/>
      <c r="E5" s="971"/>
      <c r="F5" s="974"/>
      <c r="G5" s="971"/>
      <c r="H5" s="971"/>
      <c r="I5" s="971"/>
      <c r="J5" s="971"/>
      <c r="K5" s="971"/>
    </row>
    <row r="6" spans="1:11" s="970" customFormat="1">
      <c r="A6" s="973"/>
      <c r="B6" s="971"/>
      <c r="C6" s="971"/>
      <c r="D6" s="971"/>
      <c r="E6" s="1598"/>
      <c r="F6" s="1598"/>
      <c r="G6" s="1598"/>
      <c r="H6" s="971"/>
      <c r="I6" s="971"/>
      <c r="J6" s="971"/>
      <c r="K6" s="971"/>
    </row>
    <row r="7" spans="1:11" s="970" customFormat="1">
      <c r="A7" s="973"/>
      <c r="B7" s="971"/>
      <c r="C7" s="971"/>
      <c r="D7" s="971"/>
      <c r="E7" s="971"/>
      <c r="F7" s="974"/>
      <c r="G7" s="971"/>
      <c r="H7" s="971"/>
      <c r="I7" s="971"/>
      <c r="J7" s="971"/>
      <c r="K7" s="971"/>
    </row>
    <row r="8" spans="1:11" s="970" customFormat="1">
      <c r="A8" s="973"/>
      <c r="B8" s="971" t="s">
        <v>623</v>
      </c>
      <c r="C8" s="971"/>
      <c r="D8" s="971"/>
      <c r="E8" s="971"/>
      <c r="F8" s="974"/>
      <c r="G8" s="971"/>
      <c r="H8" s="971"/>
      <c r="I8" s="971"/>
      <c r="J8" s="971"/>
      <c r="K8" s="971"/>
    </row>
    <row r="9" spans="1:11" s="970" customFormat="1">
      <c r="A9" s="973"/>
      <c r="B9" s="971" t="s">
        <v>291</v>
      </c>
      <c r="C9" s="971"/>
      <c r="D9" s="971"/>
      <c r="E9" s="971"/>
      <c r="F9" s="974"/>
      <c r="G9" s="971"/>
      <c r="H9" s="971"/>
      <c r="I9" s="971"/>
      <c r="J9" s="971"/>
      <c r="K9" s="971"/>
    </row>
    <row r="10" spans="1:11" s="970" customFormat="1">
      <c r="A10" s="973"/>
      <c r="B10" s="971" t="s">
        <v>292</v>
      </c>
      <c r="C10" s="971"/>
      <c r="D10" s="971"/>
      <c r="E10" s="971"/>
      <c r="F10" s="974"/>
      <c r="G10" s="971"/>
      <c r="H10" s="971"/>
      <c r="I10" s="971"/>
      <c r="J10" s="971"/>
      <c r="K10" s="971"/>
    </row>
    <row r="11" spans="1:11" s="970" customFormat="1" ht="39" customHeight="1">
      <c r="A11" s="973"/>
      <c r="B11" s="1593" t="s">
        <v>694</v>
      </c>
      <c r="C11" s="1593"/>
      <c r="D11" s="1593"/>
      <c r="E11" s="1593"/>
      <c r="F11" s="1593"/>
      <c r="G11" s="971"/>
      <c r="H11" s="971"/>
      <c r="I11" s="971"/>
      <c r="J11" s="971"/>
      <c r="K11" s="971"/>
    </row>
    <row r="12" spans="1:11" s="970" customFormat="1" ht="24" customHeight="1">
      <c r="A12" s="973"/>
      <c r="B12" s="1081"/>
      <c r="C12" s="1081"/>
      <c r="D12" s="1081"/>
      <c r="E12" s="1081"/>
      <c r="F12" s="1081"/>
      <c r="G12" s="971"/>
      <c r="H12" s="971"/>
      <c r="I12" s="971"/>
      <c r="J12" s="971"/>
      <c r="K12" s="971"/>
    </row>
    <row r="13" spans="1:11" s="970" customFormat="1" ht="13.5" thickBot="1">
      <c r="A13" s="975"/>
      <c r="B13" s="971" t="s">
        <v>624</v>
      </c>
      <c r="C13" s="971"/>
      <c r="D13" s="971"/>
      <c r="E13" s="971"/>
      <c r="F13" s="971"/>
      <c r="G13" s="971"/>
      <c r="H13" s="971"/>
      <c r="I13" s="971"/>
      <c r="J13" s="971"/>
      <c r="K13" s="971"/>
    </row>
    <row r="14" spans="1:11" s="970" customFormat="1">
      <c r="A14" s="975"/>
      <c r="B14" s="976"/>
      <c r="C14" s="977"/>
      <c r="D14" s="977"/>
      <c r="E14" s="977"/>
      <c r="F14" s="978"/>
      <c r="G14" s="971"/>
      <c r="H14" s="971"/>
      <c r="I14" s="971"/>
      <c r="J14" s="971"/>
      <c r="K14" s="971"/>
    </row>
    <row r="15" spans="1:11" s="970" customFormat="1" ht="13.5" thickBot="1">
      <c r="A15" s="975">
        <v>1</v>
      </c>
      <c r="B15" s="979" t="s">
        <v>201</v>
      </c>
      <c r="C15" s="980"/>
      <c r="D15" s="980"/>
      <c r="E15" s="980"/>
      <c r="F15" s="981">
        <v>0</v>
      </c>
      <c r="G15" s="971"/>
      <c r="H15" s="1599"/>
      <c r="I15" s="1599"/>
      <c r="J15" s="971"/>
      <c r="K15" s="971"/>
    </row>
    <row r="16" spans="1:11" s="970" customFormat="1" ht="13.5" thickBot="1">
      <c r="A16" s="975"/>
      <c r="B16" s="971" t="s">
        <v>625</v>
      </c>
      <c r="D16" s="971"/>
      <c r="E16" s="971"/>
      <c r="F16" s="982"/>
      <c r="G16" s="971"/>
      <c r="H16" s="983"/>
      <c r="I16" s="984"/>
      <c r="J16" s="971"/>
      <c r="K16" s="971"/>
    </row>
    <row r="17" spans="1:12" s="970" customFormat="1">
      <c r="A17" s="975">
        <v>2</v>
      </c>
      <c r="B17" s="976" t="s">
        <v>626</v>
      </c>
      <c r="C17" s="977"/>
      <c r="D17" s="977"/>
      <c r="E17" s="977"/>
      <c r="F17" s="985" t="e">
        <f>ROUND(XIRR(J58:J74,B58:B74,0.08),4)</f>
        <v>#NUM!</v>
      </c>
      <c r="G17" s="986"/>
      <c r="H17" s="987"/>
      <c r="I17" s="987"/>
      <c r="J17" s="971"/>
      <c r="K17" s="971"/>
    </row>
    <row r="18" spans="1:12" s="970" customFormat="1">
      <c r="A18" s="975">
        <f>+A17+1</f>
        <v>3</v>
      </c>
      <c r="B18" s="988" t="s">
        <v>627</v>
      </c>
      <c r="C18" s="971"/>
      <c r="D18" s="971"/>
      <c r="E18" s="971"/>
      <c r="F18" s="989"/>
      <c r="G18" s="971"/>
      <c r="H18" s="987"/>
      <c r="I18" s="987"/>
      <c r="J18" s="990"/>
    </row>
    <row r="19" spans="1:12" s="970" customFormat="1">
      <c r="A19" s="975">
        <f t="shared" ref="A19:A81" si="0">+A18+1</f>
        <v>4</v>
      </c>
      <c r="B19" s="988"/>
      <c r="C19" s="971"/>
      <c r="D19" s="971"/>
      <c r="E19" s="971"/>
      <c r="F19" s="991"/>
      <c r="G19" s="971"/>
      <c r="H19" s="987"/>
      <c r="I19" s="987"/>
      <c r="J19" s="990"/>
    </row>
    <row r="20" spans="1:12" s="970" customFormat="1">
      <c r="A20" s="975">
        <f t="shared" si="0"/>
        <v>5</v>
      </c>
      <c r="B20" s="988"/>
      <c r="C20" s="971"/>
      <c r="D20" s="971"/>
      <c r="E20" s="971"/>
      <c r="F20" s="991"/>
      <c r="G20" s="971"/>
      <c r="H20" s="971"/>
      <c r="I20" s="971"/>
      <c r="J20" s="971"/>
      <c r="K20" s="992"/>
    </row>
    <row r="21" spans="1:12" s="970" customFormat="1">
      <c r="A21" s="975">
        <f t="shared" si="0"/>
        <v>6</v>
      </c>
      <c r="B21" s="988" t="s">
        <v>202</v>
      </c>
      <c r="C21" s="993"/>
      <c r="D21" s="971"/>
      <c r="E21" s="971"/>
      <c r="F21" s="991"/>
      <c r="G21" s="971"/>
      <c r="H21" s="971"/>
      <c r="J21" s="994"/>
      <c r="K21" s="971"/>
    </row>
    <row r="22" spans="1:12" s="970" customFormat="1">
      <c r="A22" s="975">
        <f t="shared" si="0"/>
        <v>7</v>
      </c>
      <c r="B22" s="988"/>
      <c r="C22" s="993"/>
      <c r="D22" s="971"/>
      <c r="E22" s="971"/>
      <c r="F22" s="991"/>
      <c r="G22" s="971"/>
      <c r="H22" s="971"/>
      <c r="I22" s="971"/>
      <c r="J22" s="971"/>
      <c r="K22" s="971"/>
    </row>
    <row r="23" spans="1:12" s="970" customFormat="1" ht="19.5" customHeight="1" thickBot="1">
      <c r="A23" s="975">
        <f t="shared" si="0"/>
        <v>8</v>
      </c>
      <c r="B23" s="979"/>
      <c r="C23" s="995"/>
      <c r="D23" s="980"/>
      <c r="E23" s="980"/>
      <c r="F23" s="996"/>
      <c r="G23" s="971"/>
      <c r="H23" s="971"/>
      <c r="I23" s="971"/>
      <c r="J23" s="971"/>
      <c r="K23" s="971"/>
    </row>
    <row r="24" spans="1:12" s="970" customFormat="1">
      <c r="A24" s="975"/>
      <c r="B24" s="997"/>
      <c r="D24" s="971"/>
      <c r="E24" s="971"/>
      <c r="F24" s="998"/>
      <c r="G24" s="971"/>
      <c r="H24" s="971"/>
      <c r="I24" s="971"/>
      <c r="J24" s="971"/>
      <c r="K24" s="971"/>
    </row>
    <row r="25" spans="1:12" s="970" customFormat="1" ht="13.5" thickBot="1">
      <c r="A25" s="975"/>
      <c r="B25" s="971" t="s">
        <v>628</v>
      </c>
      <c r="D25" s="971"/>
      <c r="E25" s="971"/>
      <c r="F25" s="994"/>
      <c r="G25" s="971"/>
      <c r="H25" s="971"/>
      <c r="I25" s="971"/>
      <c r="J25" s="971"/>
      <c r="K25" s="971"/>
    </row>
    <row r="26" spans="1:12" s="970" customFormat="1">
      <c r="A26" s="975">
        <f>+A23+1</f>
        <v>9</v>
      </c>
      <c r="B26" s="999"/>
      <c r="C26" s="977"/>
      <c r="D26" s="977"/>
      <c r="E26" s="977"/>
      <c r="F26" s="1000"/>
      <c r="G26" s="971"/>
      <c r="H26" s="971"/>
      <c r="I26" s="971"/>
      <c r="J26" s="971"/>
      <c r="K26" s="971"/>
    </row>
    <row r="27" spans="1:12" s="970" customFormat="1">
      <c r="A27" s="975">
        <f t="shared" si="0"/>
        <v>10</v>
      </c>
      <c r="B27" s="988" t="s">
        <v>203</v>
      </c>
      <c r="C27" s="971"/>
      <c r="D27" s="971"/>
      <c r="E27" s="993" t="s">
        <v>629</v>
      </c>
      <c r="F27" s="1001" t="s">
        <v>18</v>
      </c>
      <c r="G27" s="971"/>
      <c r="H27" s="971"/>
      <c r="I27" s="971"/>
      <c r="J27" s="971"/>
      <c r="K27" s="971"/>
    </row>
    <row r="28" spans="1:12" s="970" customFormat="1">
      <c r="A28" s="975">
        <f t="shared" si="0"/>
        <v>11</v>
      </c>
      <c r="B28" s="1002" t="s">
        <v>204</v>
      </c>
      <c r="C28" s="1003"/>
      <c r="D28" s="1003"/>
      <c r="E28" s="1004">
        <v>0</v>
      </c>
      <c r="F28" s="1005">
        <v>0</v>
      </c>
      <c r="G28" s="1594"/>
      <c r="H28" s="1595"/>
      <c r="I28" s="1595"/>
      <c r="J28" s="1006"/>
      <c r="K28" s="971"/>
    </row>
    <row r="29" spans="1:12" s="970" customFormat="1">
      <c r="A29" s="975">
        <f t="shared" si="0"/>
        <v>12</v>
      </c>
      <c r="B29" s="1002" t="s">
        <v>245</v>
      </c>
      <c r="C29" s="1003"/>
      <c r="D29" s="1003"/>
      <c r="E29" s="1004">
        <v>0</v>
      </c>
      <c r="F29" s="1005">
        <v>0</v>
      </c>
      <c r="G29" s="975"/>
      <c r="H29" s="1007"/>
      <c r="I29" s="1007"/>
      <c r="J29" s="971"/>
      <c r="K29" s="971"/>
      <c r="L29" s="1008"/>
    </row>
    <row r="30" spans="1:12" s="970" customFormat="1">
      <c r="A30" s="975">
        <f t="shared" si="0"/>
        <v>13</v>
      </c>
      <c r="B30" s="1002" t="s">
        <v>244</v>
      </c>
      <c r="C30" s="1003"/>
      <c r="D30" s="1003"/>
      <c r="E30" s="1468">
        <v>0</v>
      </c>
      <c r="F30" s="1005">
        <v>0</v>
      </c>
      <c r="G30" s="1467"/>
      <c r="H30" s="1007"/>
      <c r="I30" s="1007"/>
      <c r="J30" s="1009"/>
      <c r="K30" s="971"/>
    </row>
    <row r="31" spans="1:12" s="970" customFormat="1">
      <c r="A31" s="975">
        <f t="shared" si="0"/>
        <v>14</v>
      </c>
      <c r="B31" s="1002" t="s">
        <v>243</v>
      </c>
      <c r="C31" s="1003"/>
      <c r="D31" s="1003"/>
      <c r="E31" s="1010">
        <v>0</v>
      </c>
      <c r="F31" s="1011">
        <v>0</v>
      </c>
      <c r="G31" s="975"/>
      <c r="H31" s="971"/>
      <c r="I31" s="971"/>
      <c r="J31" s="971"/>
      <c r="K31" s="971"/>
    </row>
    <row r="32" spans="1:12" s="970" customFormat="1">
      <c r="A32" s="975">
        <f t="shared" si="0"/>
        <v>15</v>
      </c>
      <c r="B32" s="1002" t="s">
        <v>242</v>
      </c>
      <c r="C32" s="1010"/>
      <c r="D32" s="1003"/>
      <c r="E32" s="796">
        <v>0</v>
      </c>
      <c r="F32" s="1011">
        <v>0</v>
      </c>
      <c r="G32" s="975"/>
      <c r="I32" s="1007"/>
      <c r="J32" s="971"/>
      <c r="K32" s="971"/>
    </row>
    <row r="33" spans="1:11" s="970" customFormat="1">
      <c r="A33" s="975" t="s">
        <v>630</v>
      </c>
      <c r="B33" s="1002"/>
      <c r="C33" s="1010"/>
      <c r="D33" s="1003"/>
      <c r="E33" s="1012">
        <v>0</v>
      </c>
      <c r="F33" s="1013">
        <v>0</v>
      </c>
      <c r="G33" s="975"/>
      <c r="I33" s="1007"/>
      <c r="J33" s="971"/>
      <c r="K33" s="971"/>
    </row>
    <row r="34" spans="1:11" s="970" customFormat="1" ht="13.5" thickBot="1">
      <c r="A34" s="975">
        <f>+A32+1</f>
        <v>16</v>
      </c>
      <c r="B34" s="1014" t="s">
        <v>205</v>
      </c>
      <c r="C34" s="1015"/>
      <c r="D34" s="971"/>
      <c r="E34" s="1016"/>
      <c r="F34" s="1017">
        <f>SUM(F29:F32)</f>
        <v>0</v>
      </c>
      <c r="G34" s="975"/>
      <c r="H34" s="971"/>
      <c r="I34" s="971"/>
      <c r="J34" s="971"/>
      <c r="K34" s="971"/>
    </row>
    <row r="35" spans="1:11" s="970" customFormat="1" ht="14.25" thickTop="1" thickBot="1">
      <c r="A35" s="975"/>
      <c r="B35" s="1018"/>
      <c r="C35" s="1019"/>
      <c r="D35" s="980"/>
      <c r="E35" s="980"/>
      <c r="F35" s="1020"/>
      <c r="G35" s="975"/>
      <c r="H35" s="971"/>
      <c r="I35" s="971"/>
      <c r="J35" s="1006"/>
      <c r="K35" s="971"/>
    </row>
    <row r="36" spans="1:11" s="970" customFormat="1">
      <c r="A36" s="975">
        <f>+A34+1</f>
        <v>17</v>
      </c>
      <c r="B36" s="1021"/>
      <c r="C36" s="1022"/>
      <c r="D36" s="1023"/>
      <c r="E36" s="1023"/>
      <c r="F36" s="1024"/>
      <c r="G36" s="975"/>
      <c r="H36" s="971"/>
      <c r="I36" s="971"/>
      <c r="J36" s="1025"/>
      <c r="K36" s="971"/>
    </row>
    <row r="37" spans="1:11" s="970" customFormat="1">
      <c r="A37" s="975">
        <f t="shared" si="0"/>
        <v>18</v>
      </c>
      <c r="B37" s="1002" t="s">
        <v>252</v>
      </c>
      <c r="C37" s="1010"/>
      <c r="D37" s="1003"/>
      <c r="E37" s="1026">
        <v>0</v>
      </c>
      <c r="F37" s="1011">
        <v>0</v>
      </c>
      <c r="G37" s="975"/>
      <c r="H37" s="971"/>
      <c r="I37" s="971"/>
      <c r="J37" s="1025"/>
      <c r="K37" s="971"/>
    </row>
    <row r="38" spans="1:11" s="970" customFormat="1">
      <c r="A38" s="975">
        <f t="shared" si="0"/>
        <v>19</v>
      </c>
      <c r="B38" s="1002" t="s">
        <v>253</v>
      </c>
      <c r="C38" s="1010"/>
      <c r="D38" s="1003"/>
      <c r="E38" s="1012">
        <v>0</v>
      </c>
      <c r="F38" s="1027">
        <v>0</v>
      </c>
      <c r="G38" s="975"/>
      <c r="H38" s="971"/>
      <c r="I38" s="971"/>
      <c r="J38" s="1025"/>
      <c r="K38" s="971"/>
    </row>
    <row r="39" spans="1:11" s="970" customFormat="1">
      <c r="A39" s="975">
        <v>21</v>
      </c>
      <c r="B39" s="1002" t="s">
        <v>241</v>
      </c>
      <c r="C39" s="1010"/>
      <c r="D39" s="1003"/>
      <c r="E39" s="1028"/>
      <c r="F39" s="1029"/>
      <c r="G39" s="975"/>
      <c r="H39" s="971"/>
      <c r="I39" s="971"/>
      <c r="J39" s="1025"/>
      <c r="K39" s="971"/>
    </row>
    <row r="40" spans="1:11" s="970" customFormat="1" ht="13.5" thickBot="1">
      <c r="A40" s="975" t="s">
        <v>691</v>
      </c>
      <c r="B40" s="1030"/>
      <c r="C40" s="1031"/>
      <c r="D40" s="1032"/>
      <c r="E40" s="1033"/>
      <c r="F40" s="1034"/>
      <c r="G40" s="975"/>
      <c r="H40" s="1035"/>
      <c r="I40" s="1007"/>
      <c r="K40" s="971"/>
    </row>
    <row r="41" spans="1:11" s="970" customFormat="1">
      <c r="A41" s="975"/>
      <c r="B41" s="997"/>
      <c r="C41" s="974"/>
      <c r="D41" s="971"/>
      <c r="E41" s="1036"/>
      <c r="F41" s="974"/>
      <c r="G41" s="975"/>
      <c r="H41" s="971"/>
      <c r="I41" s="971"/>
      <c r="J41" s="971"/>
      <c r="K41" s="971"/>
    </row>
    <row r="42" spans="1:11" s="970" customFormat="1" ht="13.5" thickBot="1">
      <c r="A42" s="975"/>
      <c r="B42" s="971" t="s">
        <v>631</v>
      </c>
      <c r="C42" s="974"/>
      <c r="D42" s="971"/>
      <c r="E42" s="971"/>
      <c r="F42" s="971"/>
      <c r="G42" s="971"/>
      <c r="H42" s="971"/>
      <c r="I42" s="971"/>
      <c r="J42" s="971"/>
      <c r="K42" s="971"/>
    </row>
    <row r="43" spans="1:11" s="970" customFormat="1" ht="13.5" thickBot="1">
      <c r="A43" s="975">
        <v>22</v>
      </c>
      <c r="B43" s="1037"/>
      <c r="C43" s="1038">
        <v>2015</v>
      </c>
      <c r="D43" s="1038">
        <f t="shared" ref="D43:I43" si="1">+C43+1</f>
        <v>2016</v>
      </c>
      <c r="E43" s="1038">
        <f t="shared" si="1"/>
        <v>2017</v>
      </c>
      <c r="F43" s="1038">
        <f t="shared" si="1"/>
        <v>2018</v>
      </c>
      <c r="G43" s="1038">
        <f t="shared" si="1"/>
        <v>2019</v>
      </c>
      <c r="H43" s="1038">
        <f t="shared" si="1"/>
        <v>2020</v>
      </c>
      <c r="I43" s="1038">
        <f t="shared" si="1"/>
        <v>2021</v>
      </c>
    </row>
    <row r="44" spans="1:11" s="970" customFormat="1" ht="13.5" thickBot="1">
      <c r="A44" s="975">
        <f t="shared" si="0"/>
        <v>23</v>
      </c>
      <c r="B44" s="1018" t="s">
        <v>240</v>
      </c>
      <c r="C44" s="1463"/>
      <c r="D44" s="1464"/>
      <c r="E44" s="1464"/>
      <c r="F44" s="1464"/>
      <c r="G44" s="1513"/>
      <c r="H44" s="1464"/>
      <c r="I44" s="1464">
        <v>7.3999999999999999E-4</v>
      </c>
    </row>
    <row r="45" spans="1:11" s="970" customFormat="1" ht="13.5" thickBot="1">
      <c r="A45" s="975">
        <f t="shared" si="0"/>
        <v>24</v>
      </c>
      <c r="B45" s="1018" t="s">
        <v>239</v>
      </c>
      <c r="C45" s="1463"/>
      <c r="D45" s="1464"/>
      <c r="E45" s="1464"/>
      <c r="F45" s="1464"/>
      <c r="G45" s="1513"/>
      <c r="H45" s="1464"/>
      <c r="I45" s="1464">
        <v>2.5000000000000001E-2</v>
      </c>
    </row>
    <row r="46" spans="1:11" s="970" customFormat="1" ht="13.5" thickBot="1">
      <c r="A46" s="975">
        <f t="shared" si="0"/>
        <v>25</v>
      </c>
      <c r="B46" s="979" t="s">
        <v>206</v>
      </c>
      <c r="C46" s="1465"/>
      <c r="D46" s="1466"/>
      <c r="E46" s="1466"/>
      <c r="F46" s="1514"/>
      <c r="G46" s="1514"/>
      <c r="H46" s="1466"/>
      <c r="I46" s="1466">
        <f t="shared" ref="I46" si="2">SUM(I44:I45)</f>
        <v>2.5740000000000002E-2</v>
      </c>
    </row>
    <row r="47" spans="1:11" s="970" customFormat="1">
      <c r="A47" s="975"/>
    </row>
    <row r="48" spans="1:11" s="970" customFormat="1" ht="13.5" thickBot="1">
      <c r="A48" s="975"/>
      <c r="B48" s="970" t="s">
        <v>632</v>
      </c>
    </row>
    <row r="49" spans="1:12" s="970" customFormat="1">
      <c r="A49" s="975">
        <f>+A46+1</f>
        <v>26</v>
      </c>
      <c r="B49" s="1039" t="s">
        <v>133</v>
      </c>
      <c r="C49" s="1040" t="s">
        <v>132</v>
      </c>
      <c r="D49" s="1040" t="s">
        <v>207</v>
      </c>
      <c r="E49" s="1040" t="s">
        <v>208</v>
      </c>
      <c r="F49" s="1040" t="s">
        <v>209</v>
      </c>
      <c r="G49" s="1040" t="s">
        <v>210</v>
      </c>
      <c r="H49" s="1040" t="s">
        <v>211</v>
      </c>
      <c r="I49" s="1040" t="s">
        <v>212</v>
      </c>
      <c r="J49" s="1041" t="s">
        <v>213</v>
      </c>
    </row>
    <row r="50" spans="1:12" s="970" customFormat="1" ht="51" customHeight="1">
      <c r="A50" s="975">
        <f t="shared" si="0"/>
        <v>27</v>
      </c>
      <c r="B50" s="1042" t="s">
        <v>135</v>
      </c>
      <c r="C50" s="993"/>
      <c r="D50" s="1043" t="s">
        <v>633</v>
      </c>
      <c r="E50" s="1043" t="s">
        <v>634</v>
      </c>
      <c r="F50" s="1043" t="s">
        <v>635</v>
      </c>
      <c r="G50" s="1043" t="s">
        <v>636</v>
      </c>
      <c r="H50" s="1043" t="s">
        <v>214</v>
      </c>
      <c r="I50" s="1043" t="s">
        <v>637</v>
      </c>
      <c r="J50" s="1044" t="s">
        <v>215</v>
      </c>
    </row>
    <row r="51" spans="1:12" s="970" customFormat="1" ht="27.75" customHeight="1" thickBot="1">
      <c r="A51" s="975">
        <f t="shared" si="0"/>
        <v>28</v>
      </c>
      <c r="B51" s="1045"/>
      <c r="C51" s="995"/>
      <c r="D51" s="1046" t="s">
        <v>638</v>
      </c>
      <c r="E51" s="1046" t="s">
        <v>638</v>
      </c>
      <c r="F51" s="1046" t="s">
        <v>639</v>
      </c>
      <c r="G51" s="1046" t="s">
        <v>640</v>
      </c>
      <c r="H51" s="1046" t="s">
        <v>641</v>
      </c>
      <c r="I51" s="1046" t="s">
        <v>693</v>
      </c>
      <c r="J51" s="1047" t="s">
        <v>216</v>
      </c>
    </row>
    <row r="52" spans="1:12" s="970" customFormat="1">
      <c r="A52" s="975">
        <f t="shared" si="0"/>
        <v>29</v>
      </c>
      <c r="B52" s="1039"/>
      <c r="C52" s="1040"/>
      <c r="D52" s="977"/>
      <c r="E52" s="977"/>
      <c r="F52" s="977"/>
      <c r="G52" s="977"/>
      <c r="H52" s="977"/>
      <c r="I52" s="977"/>
      <c r="J52" s="978"/>
    </row>
    <row r="53" spans="1:12" s="970" customFormat="1">
      <c r="A53" s="975">
        <f t="shared" si="0"/>
        <v>30</v>
      </c>
      <c r="B53" s="1048">
        <v>42005</v>
      </c>
      <c r="C53" s="1049"/>
      <c r="D53" s="1050">
        <v>0</v>
      </c>
      <c r="E53" s="1003"/>
      <c r="F53" s="971"/>
      <c r="G53" s="971"/>
      <c r="H53" s="971"/>
      <c r="I53" s="971"/>
      <c r="J53" s="1051"/>
    </row>
    <row r="54" spans="1:12" s="970" customFormat="1">
      <c r="A54" s="975">
        <f t="shared" si="0"/>
        <v>31</v>
      </c>
      <c r="B54" s="1048">
        <v>42094</v>
      </c>
      <c r="C54" s="1052" t="s">
        <v>217</v>
      </c>
      <c r="D54" s="1050">
        <v>0</v>
      </c>
      <c r="E54" s="1010">
        <f>0.45*SUM(D53:D54)</f>
        <v>0</v>
      </c>
      <c r="F54" s="1015">
        <f>SUM($E$54:E54)</f>
        <v>0</v>
      </c>
      <c r="G54" s="1053">
        <v>0</v>
      </c>
      <c r="H54" s="1054"/>
      <c r="I54" s="1015"/>
      <c r="J54" s="1051">
        <f>E54-G54-H54-I54</f>
        <v>0</v>
      </c>
    </row>
    <row r="55" spans="1:12" s="970" customFormat="1">
      <c r="A55" s="975">
        <f t="shared" si="0"/>
        <v>32</v>
      </c>
      <c r="B55" s="1048">
        <v>42185</v>
      </c>
      <c r="C55" s="1052" t="s">
        <v>218</v>
      </c>
      <c r="D55" s="1050">
        <v>0</v>
      </c>
      <c r="E55" s="1010">
        <f>0.45*SUM(D55)</f>
        <v>0</v>
      </c>
      <c r="F55" s="1015">
        <f>SUM($E$54:E55)</f>
        <v>0</v>
      </c>
      <c r="G55" s="1015">
        <f>F54*SUMIF($C$43:$I$43,YEAR(B54),$C$46:$I$46)*((B55-B54)/365)</f>
        <v>0</v>
      </c>
      <c r="H55" s="1015"/>
      <c r="I55" s="1015"/>
      <c r="J55" s="1051">
        <f>E55-G55-H55-I55</f>
        <v>0</v>
      </c>
      <c r="L55" s="1055"/>
    </row>
    <row r="56" spans="1:12" s="970" customFormat="1">
      <c r="A56" s="975">
        <f t="shared" si="0"/>
        <v>33</v>
      </c>
      <c r="B56" s="1048">
        <v>42277</v>
      </c>
      <c r="C56" s="1052" t="s">
        <v>219</v>
      </c>
      <c r="D56" s="1050">
        <v>0</v>
      </c>
      <c r="E56" s="1010">
        <f t="shared" ref="E56:E74" si="3">0.45*SUM(D56)</f>
        <v>0</v>
      </c>
      <c r="F56" s="1015">
        <f>SUM($E$54:E56)</f>
        <v>0</v>
      </c>
      <c r="G56" s="1015">
        <f>F55*SUMIF($C$43:$I$43,YEAR(B55),$C$46:$I$46)*((B56-B55)/365)</f>
        <v>0</v>
      </c>
      <c r="H56" s="1015"/>
      <c r="I56" s="1015"/>
      <c r="J56" s="1051">
        <f t="shared" ref="J56:J69" si="4">E56-G56-H56-I56</f>
        <v>0</v>
      </c>
      <c r="K56" s="1056"/>
      <c r="L56" s="1055"/>
    </row>
    <row r="57" spans="1:12" s="970" customFormat="1">
      <c r="A57" s="975">
        <f t="shared" si="0"/>
        <v>34</v>
      </c>
      <c r="B57" s="1048">
        <v>42369</v>
      </c>
      <c r="C57" s="1052" t="s">
        <v>220</v>
      </c>
      <c r="D57" s="1050">
        <v>0</v>
      </c>
      <c r="E57" s="1010">
        <f t="shared" si="3"/>
        <v>0</v>
      </c>
      <c r="F57" s="1015">
        <f>SUM($E$54:E57)</f>
        <v>0</v>
      </c>
      <c r="G57" s="1015">
        <f t="shared" ref="G57:G68" si="5">F56*SUMIF($C$43:$I$43,YEAR(B56),$C$46:$I$46)*((B57-B56)/365)</f>
        <v>0</v>
      </c>
      <c r="H57" s="1054"/>
      <c r="I57" s="1015"/>
      <c r="J57" s="1051">
        <f t="shared" si="4"/>
        <v>0</v>
      </c>
      <c r="K57" s="1056"/>
      <c r="L57" s="1055"/>
    </row>
    <row r="58" spans="1:12" s="970" customFormat="1">
      <c r="A58" s="975">
        <f t="shared" si="0"/>
        <v>35</v>
      </c>
      <c r="B58" s="1048">
        <v>42460</v>
      </c>
      <c r="C58" s="1052" t="s">
        <v>217</v>
      </c>
      <c r="D58" s="1050">
        <v>0</v>
      </c>
      <c r="E58" s="1010">
        <f t="shared" si="3"/>
        <v>0</v>
      </c>
      <c r="F58" s="1015">
        <f>SUM($E$54:E58)</f>
        <v>0</v>
      </c>
      <c r="G58" s="1015">
        <f t="shared" si="5"/>
        <v>0</v>
      </c>
      <c r="H58" s="1015">
        <f>F34/1000</f>
        <v>0</v>
      </c>
      <c r="I58" s="1015">
        <f>($F$15/1000-F57)*$E$39/4</f>
        <v>0</v>
      </c>
      <c r="J58" s="1051">
        <f t="shared" si="4"/>
        <v>0</v>
      </c>
      <c r="K58" s="1056"/>
      <c r="L58" s="1055"/>
    </row>
    <row r="59" spans="1:12" s="970" customFormat="1">
      <c r="A59" s="975">
        <f t="shared" si="0"/>
        <v>36</v>
      </c>
      <c r="B59" s="1048">
        <v>42551</v>
      </c>
      <c r="C59" s="1052" t="s">
        <v>218</v>
      </c>
      <c r="D59" s="1050">
        <v>0</v>
      </c>
      <c r="E59" s="1010">
        <f t="shared" si="3"/>
        <v>0</v>
      </c>
      <c r="F59" s="1015">
        <f>SUM($E$54:E59)</f>
        <v>0</v>
      </c>
      <c r="G59" s="1015">
        <f t="shared" si="5"/>
        <v>0</v>
      </c>
      <c r="H59" s="1015"/>
      <c r="I59" s="1015">
        <f>($F$15/1000-F58)*$E$39/4+$F$38/1000+$F$37/1000</f>
        <v>0</v>
      </c>
      <c r="J59" s="1051">
        <f t="shared" si="4"/>
        <v>0</v>
      </c>
      <c r="K59" s="1056"/>
      <c r="L59" s="1055"/>
    </row>
    <row r="60" spans="1:12" s="970" customFormat="1">
      <c r="A60" s="975">
        <f t="shared" si="0"/>
        <v>37</v>
      </c>
      <c r="B60" s="1048">
        <v>42643</v>
      </c>
      <c r="C60" s="1052" t="s">
        <v>219</v>
      </c>
      <c r="D60" s="1050">
        <v>0</v>
      </c>
      <c r="E60" s="1010">
        <f t="shared" si="3"/>
        <v>0</v>
      </c>
      <c r="F60" s="1015">
        <f>SUM($E$54:E60)</f>
        <v>0</v>
      </c>
      <c r="G60" s="1015">
        <f t="shared" si="5"/>
        <v>0</v>
      </c>
      <c r="H60" s="1015"/>
      <c r="I60" s="1015">
        <f t="shared" ref="I60:I74" si="6">($F$15/1000-F59)*$E$39/4+$F$38/1000+$F$37/1000</f>
        <v>0</v>
      </c>
      <c r="J60" s="1051">
        <f t="shared" si="4"/>
        <v>0</v>
      </c>
      <c r="K60" s="1056"/>
      <c r="L60" s="1055"/>
    </row>
    <row r="61" spans="1:12" s="970" customFormat="1">
      <c r="A61" s="975">
        <f t="shared" si="0"/>
        <v>38</v>
      </c>
      <c r="B61" s="1048">
        <v>42735</v>
      </c>
      <c r="C61" s="1052" t="s">
        <v>220</v>
      </c>
      <c r="D61" s="1050">
        <v>0</v>
      </c>
      <c r="E61" s="1010">
        <f t="shared" si="3"/>
        <v>0</v>
      </c>
      <c r="F61" s="1015">
        <f>SUM($E$54:E61)</f>
        <v>0</v>
      </c>
      <c r="G61" s="1015">
        <f t="shared" si="5"/>
        <v>0</v>
      </c>
      <c r="H61" s="1015"/>
      <c r="I61" s="1015">
        <f t="shared" si="6"/>
        <v>0</v>
      </c>
      <c r="J61" s="1051">
        <f t="shared" si="4"/>
        <v>0</v>
      </c>
      <c r="K61" s="1056"/>
      <c r="L61" s="1055"/>
    </row>
    <row r="62" spans="1:12" s="970" customFormat="1">
      <c r="A62" s="975">
        <f t="shared" si="0"/>
        <v>39</v>
      </c>
      <c r="B62" s="1048">
        <v>42825</v>
      </c>
      <c r="C62" s="1052" t="s">
        <v>217</v>
      </c>
      <c r="D62" s="1050">
        <v>0</v>
      </c>
      <c r="E62" s="1010">
        <f t="shared" si="3"/>
        <v>0</v>
      </c>
      <c r="F62" s="1015">
        <f>SUM($E$54:E62)</f>
        <v>0</v>
      </c>
      <c r="G62" s="1015">
        <f t="shared" si="5"/>
        <v>0</v>
      </c>
      <c r="H62" s="1015"/>
      <c r="I62" s="1015">
        <f t="shared" si="6"/>
        <v>0</v>
      </c>
      <c r="J62" s="1051">
        <f t="shared" si="4"/>
        <v>0</v>
      </c>
      <c r="K62" s="1056"/>
      <c r="L62" s="1055"/>
    </row>
    <row r="63" spans="1:12" s="970" customFormat="1">
      <c r="A63" s="975">
        <f t="shared" si="0"/>
        <v>40</v>
      </c>
      <c r="B63" s="1048">
        <v>42916</v>
      </c>
      <c r="C63" s="1052" t="s">
        <v>218</v>
      </c>
      <c r="D63" s="1050">
        <v>0</v>
      </c>
      <c r="E63" s="1010">
        <f t="shared" si="3"/>
        <v>0</v>
      </c>
      <c r="F63" s="1015">
        <f>SUM($E$54:E63)</f>
        <v>0</v>
      </c>
      <c r="G63" s="1015">
        <f t="shared" si="5"/>
        <v>0</v>
      </c>
      <c r="H63" s="1015"/>
      <c r="I63" s="1015">
        <f t="shared" si="6"/>
        <v>0</v>
      </c>
      <c r="J63" s="1051">
        <f t="shared" si="4"/>
        <v>0</v>
      </c>
      <c r="K63" s="1056"/>
      <c r="L63" s="1055"/>
    </row>
    <row r="64" spans="1:12" s="970" customFormat="1">
      <c r="A64" s="975">
        <f t="shared" si="0"/>
        <v>41</v>
      </c>
      <c r="B64" s="1048">
        <v>43008</v>
      </c>
      <c r="C64" s="1052" t="s">
        <v>219</v>
      </c>
      <c r="D64" s="1050">
        <v>0</v>
      </c>
      <c r="E64" s="1010">
        <f t="shared" si="3"/>
        <v>0</v>
      </c>
      <c r="F64" s="1015">
        <f>SUM($E$54:E64)</f>
        <v>0</v>
      </c>
      <c r="G64" s="1015">
        <f t="shared" si="5"/>
        <v>0</v>
      </c>
      <c r="H64" s="1015"/>
      <c r="I64" s="1015">
        <f t="shared" si="6"/>
        <v>0</v>
      </c>
      <c r="J64" s="1051">
        <f t="shared" si="4"/>
        <v>0</v>
      </c>
      <c r="K64" s="1056"/>
      <c r="L64" s="1055"/>
    </row>
    <row r="65" spans="1:12" s="970" customFormat="1">
      <c r="A65" s="975">
        <f t="shared" si="0"/>
        <v>42</v>
      </c>
      <c r="B65" s="1048">
        <v>43100</v>
      </c>
      <c r="C65" s="1052" t="s">
        <v>220</v>
      </c>
      <c r="D65" s="1050">
        <v>0</v>
      </c>
      <c r="E65" s="1010">
        <f t="shared" si="3"/>
        <v>0</v>
      </c>
      <c r="F65" s="1015">
        <f>SUM($E$54:E65)</f>
        <v>0</v>
      </c>
      <c r="G65" s="1015">
        <f t="shared" si="5"/>
        <v>0</v>
      </c>
      <c r="H65" s="1015"/>
      <c r="I65" s="1015">
        <f t="shared" si="6"/>
        <v>0</v>
      </c>
      <c r="J65" s="1051">
        <f t="shared" si="4"/>
        <v>0</v>
      </c>
      <c r="K65" s="1056"/>
      <c r="L65" s="1055"/>
    </row>
    <row r="66" spans="1:12" s="970" customFormat="1">
      <c r="A66" s="975">
        <f t="shared" si="0"/>
        <v>43</v>
      </c>
      <c r="B66" s="1048">
        <v>43190</v>
      </c>
      <c r="C66" s="1052" t="s">
        <v>217</v>
      </c>
      <c r="D66" s="1050">
        <v>0</v>
      </c>
      <c r="E66" s="1010">
        <f t="shared" si="3"/>
        <v>0</v>
      </c>
      <c r="F66" s="1015">
        <f>SUM($E$54:E66)</f>
        <v>0</v>
      </c>
      <c r="G66" s="1015">
        <f t="shared" si="5"/>
        <v>0</v>
      </c>
      <c r="H66" s="1015"/>
      <c r="I66" s="1015">
        <f t="shared" si="6"/>
        <v>0</v>
      </c>
      <c r="J66" s="1051">
        <f t="shared" si="4"/>
        <v>0</v>
      </c>
      <c r="K66" s="1056"/>
      <c r="L66" s="1055"/>
    </row>
    <row r="67" spans="1:12" s="970" customFormat="1">
      <c r="A67" s="975">
        <f t="shared" si="0"/>
        <v>44</v>
      </c>
      <c r="B67" s="1048">
        <v>43281</v>
      </c>
      <c r="C67" s="1052" t="s">
        <v>218</v>
      </c>
      <c r="D67" s="1050">
        <v>0</v>
      </c>
      <c r="E67" s="1010">
        <f t="shared" si="3"/>
        <v>0</v>
      </c>
      <c r="F67" s="1015">
        <f>SUM($E$54:E67)</f>
        <v>0</v>
      </c>
      <c r="G67" s="1015">
        <f t="shared" si="5"/>
        <v>0</v>
      </c>
      <c r="H67" s="1015"/>
      <c r="I67" s="1015">
        <f t="shared" si="6"/>
        <v>0</v>
      </c>
      <c r="J67" s="1051">
        <f t="shared" si="4"/>
        <v>0</v>
      </c>
      <c r="K67" s="1056"/>
      <c r="L67" s="1055"/>
    </row>
    <row r="68" spans="1:12" s="970" customFormat="1">
      <c r="A68" s="975">
        <f t="shared" si="0"/>
        <v>45</v>
      </c>
      <c r="B68" s="1048">
        <v>43373</v>
      </c>
      <c r="C68" s="1052" t="s">
        <v>219</v>
      </c>
      <c r="D68" s="1050">
        <v>0</v>
      </c>
      <c r="E68" s="1010">
        <f t="shared" si="3"/>
        <v>0</v>
      </c>
      <c r="F68" s="1015">
        <f>SUM($E$54:E68)</f>
        <v>0</v>
      </c>
      <c r="G68" s="1015">
        <f t="shared" si="5"/>
        <v>0</v>
      </c>
      <c r="H68" s="1015"/>
      <c r="I68" s="1015">
        <f t="shared" si="6"/>
        <v>0</v>
      </c>
      <c r="J68" s="1051">
        <f t="shared" si="4"/>
        <v>0</v>
      </c>
      <c r="K68" s="1056"/>
      <c r="L68" s="1055"/>
    </row>
    <row r="69" spans="1:12" s="970" customFormat="1">
      <c r="A69" s="975">
        <f t="shared" si="0"/>
        <v>46</v>
      </c>
      <c r="B69" s="1048">
        <v>43465</v>
      </c>
      <c r="C69" s="1052" t="s">
        <v>220</v>
      </c>
      <c r="D69" s="1050">
        <v>0</v>
      </c>
      <c r="E69" s="1010">
        <f t="shared" si="3"/>
        <v>0</v>
      </c>
      <c r="F69" s="1015">
        <f>SUM($E$54:E69)</f>
        <v>0</v>
      </c>
      <c r="G69" s="1015">
        <f>F68*SUMIF($C$43:$I$43,YEAR(B68),$C$46:$I$46)*((B69-B68)/365)</f>
        <v>0</v>
      </c>
      <c r="H69" s="1015"/>
      <c r="I69" s="1015">
        <f t="shared" si="6"/>
        <v>0</v>
      </c>
      <c r="J69" s="1051">
        <f t="shared" si="4"/>
        <v>0</v>
      </c>
      <c r="K69" s="1056"/>
      <c r="L69" s="1055"/>
    </row>
    <row r="70" spans="1:12" s="970" customFormat="1">
      <c r="A70" s="975">
        <f t="shared" si="0"/>
        <v>47</v>
      </c>
      <c r="B70" s="1048">
        <v>43555</v>
      </c>
      <c r="C70" s="1052" t="s">
        <v>217</v>
      </c>
      <c r="D70" s="1050">
        <v>0</v>
      </c>
      <c r="E70" s="1010">
        <f t="shared" si="3"/>
        <v>0</v>
      </c>
      <c r="F70" s="1015">
        <f>SUM($E$54:E70)</f>
        <v>0</v>
      </c>
      <c r="G70" s="1015">
        <f>F69*SUMIF($C$43:$I$43,YEAR(B69),$C$46:$I$46)*((B70-B69)/365)</f>
        <v>0</v>
      </c>
      <c r="H70" s="1015"/>
      <c r="I70" s="1015">
        <f t="shared" si="6"/>
        <v>0</v>
      </c>
      <c r="J70" s="1051">
        <f>E70-G70-H70-I70</f>
        <v>0</v>
      </c>
      <c r="K70" s="1056"/>
      <c r="L70" s="1055"/>
    </row>
    <row r="71" spans="1:12" s="970" customFormat="1">
      <c r="A71" s="975">
        <f t="shared" si="0"/>
        <v>48</v>
      </c>
      <c r="B71" s="1048">
        <v>43646</v>
      </c>
      <c r="C71" s="1052" t="s">
        <v>218</v>
      </c>
      <c r="D71" s="1050">
        <v>0</v>
      </c>
      <c r="E71" s="1010">
        <f t="shared" si="3"/>
        <v>0</v>
      </c>
      <c r="F71" s="1015">
        <f>SUM($E$54:E71)</f>
        <v>0</v>
      </c>
      <c r="G71" s="1015">
        <f>F70*SUMIF($C$43:$I$43,YEAR(B70),$C$46:$I$46)*((B71-B70)/365)</f>
        <v>0</v>
      </c>
      <c r="H71" s="1015"/>
      <c r="I71" s="1015">
        <f t="shared" si="6"/>
        <v>0</v>
      </c>
      <c r="J71" s="1051">
        <f>E71-G71-H71-I71</f>
        <v>0</v>
      </c>
      <c r="K71" s="1056"/>
      <c r="L71" s="1055"/>
    </row>
    <row r="72" spans="1:12" s="970" customFormat="1">
      <c r="A72" s="975">
        <f t="shared" si="0"/>
        <v>49</v>
      </c>
      <c r="B72" s="1048">
        <v>43738</v>
      </c>
      <c r="C72" s="1052" t="s">
        <v>219</v>
      </c>
      <c r="D72" s="1050">
        <v>0</v>
      </c>
      <c r="E72" s="1010">
        <f t="shared" si="3"/>
        <v>0</v>
      </c>
      <c r="F72" s="1015">
        <f>SUM($E$54:E72)</f>
        <v>0</v>
      </c>
      <c r="G72" s="1015">
        <f>F71*SUMIF($C$43:$I$43,YEAR(B71),$C$46:$I$46)*((B72-B71)/365)</f>
        <v>0</v>
      </c>
      <c r="H72" s="1015"/>
      <c r="I72" s="1015">
        <f t="shared" si="6"/>
        <v>0</v>
      </c>
      <c r="J72" s="1051">
        <f>E72-G72-H72-I72</f>
        <v>0</v>
      </c>
      <c r="K72" s="1056"/>
      <c r="L72" s="1055"/>
    </row>
    <row r="73" spans="1:12" s="970" customFormat="1">
      <c r="A73" s="975">
        <f t="shared" si="0"/>
        <v>50</v>
      </c>
      <c r="B73" s="1048">
        <v>43830</v>
      </c>
      <c r="C73" s="1052" t="s">
        <v>220</v>
      </c>
      <c r="D73" s="1050">
        <v>0</v>
      </c>
      <c r="E73" s="1010">
        <f t="shared" si="3"/>
        <v>0</v>
      </c>
      <c r="F73" s="1015">
        <f>SUM($E$54:E73)</f>
        <v>0</v>
      </c>
      <c r="G73" s="1015">
        <f>F72*SUMIF($C$43:$I$43,YEAR(B72),$C$46:$I$46)*((B73-B72)/365)</f>
        <v>0</v>
      </c>
      <c r="H73" s="1015"/>
      <c r="I73" s="1015">
        <f t="shared" si="6"/>
        <v>0</v>
      </c>
      <c r="J73" s="1051">
        <f>E73-G73-H73-I73</f>
        <v>0</v>
      </c>
      <c r="K73" s="1056"/>
    </row>
    <row r="74" spans="1:12" s="970" customFormat="1">
      <c r="A74" s="975">
        <f t="shared" si="0"/>
        <v>51</v>
      </c>
      <c r="B74" s="1048">
        <v>43831</v>
      </c>
      <c r="C74" s="1052" t="s">
        <v>217</v>
      </c>
      <c r="D74" s="1050">
        <v>0</v>
      </c>
      <c r="E74" s="1010">
        <f t="shared" si="3"/>
        <v>0</v>
      </c>
      <c r="F74" s="1015">
        <f>SUM($E$54:E74)</f>
        <v>0</v>
      </c>
      <c r="G74" s="1015">
        <f>F73*SUMIF($C$43:$I$43,YEAR(B73),$C$46:$I$46)*((B74-B73)/365)+F74</f>
        <v>0</v>
      </c>
      <c r="H74" s="1015"/>
      <c r="I74" s="1015">
        <f t="shared" si="6"/>
        <v>0</v>
      </c>
      <c r="J74" s="1051">
        <f>E74-G74-H74-I74</f>
        <v>0</v>
      </c>
      <c r="K74" s="1056"/>
    </row>
    <row r="75" spans="1:12" s="970" customFormat="1">
      <c r="A75" s="975">
        <f t="shared" si="0"/>
        <v>52</v>
      </c>
      <c r="B75" s="1057"/>
      <c r="C75" s="1049"/>
      <c r="D75" s="1010"/>
      <c r="E75" s="1010"/>
      <c r="F75" s="1015"/>
      <c r="G75" s="1015"/>
      <c r="H75" s="1015"/>
      <c r="I75" s="1015"/>
      <c r="J75" s="1051"/>
      <c r="K75" s="1056"/>
    </row>
    <row r="76" spans="1:12" s="970" customFormat="1">
      <c r="A76" s="975">
        <f t="shared" si="0"/>
        <v>53</v>
      </c>
      <c r="B76" s="1057"/>
      <c r="C76" s="1058"/>
      <c r="D76" s="1010"/>
      <c r="E76" s="1010"/>
      <c r="F76" s="1015"/>
      <c r="G76" s="1059"/>
      <c r="H76" s="1015"/>
      <c r="I76" s="1015"/>
      <c r="J76" s="1051"/>
      <c r="K76" s="1056"/>
    </row>
    <row r="77" spans="1:12" s="970" customFormat="1">
      <c r="A77" s="975">
        <f t="shared" si="0"/>
        <v>54</v>
      </c>
      <c r="B77" s="1057"/>
      <c r="C77" s="1049"/>
      <c r="D77" s="1010"/>
      <c r="E77" s="1010"/>
      <c r="F77" s="1015"/>
      <c r="G77" s="1060"/>
      <c r="H77" s="1015"/>
      <c r="I77" s="1015"/>
      <c r="J77" s="1051"/>
      <c r="K77" s="1056"/>
    </row>
    <row r="78" spans="1:12" s="970" customFormat="1">
      <c r="A78" s="975">
        <f t="shared" si="0"/>
        <v>55</v>
      </c>
      <c r="B78" s="1057"/>
      <c r="C78" s="1049"/>
      <c r="D78" s="1010"/>
      <c r="E78" s="1010"/>
      <c r="F78" s="1015"/>
      <c r="G78" s="1015"/>
      <c r="H78" s="1015"/>
      <c r="I78" s="1015"/>
      <c r="J78" s="1051"/>
      <c r="K78" s="1056"/>
    </row>
    <row r="79" spans="1:12" s="970" customFormat="1">
      <c r="A79" s="975">
        <f t="shared" si="0"/>
        <v>56</v>
      </c>
      <c r="B79" s="1057"/>
      <c r="C79" s="1049"/>
      <c r="D79" s="1010"/>
      <c r="E79" s="1010"/>
      <c r="F79" s="1015"/>
      <c r="G79" s="1015"/>
      <c r="H79" s="1015"/>
      <c r="I79" s="1015"/>
      <c r="J79" s="1051"/>
      <c r="K79" s="1056"/>
    </row>
    <row r="80" spans="1:12" s="970" customFormat="1">
      <c r="A80" s="975">
        <f t="shared" si="0"/>
        <v>57</v>
      </c>
      <c r="B80" s="1057"/>
      <c r="C80" s="1049"/>
      <c r="D80" s="1010"/>
      <c r="E80" s="1010"/>
      <c r="F80" s="1015"/>
      <c r="G80" s="1015"/>
      <c r="H80" s="1015"/>
      <c r="I80" s="1015"/>
      <c r="J80" s="1051"/>
      <c r="K80" s="1056"/>
    </row>
    <row r="81" spans="1:13" s="970" customFormat="1" ht="13.5" thickBot="1">
      <c r="A81" s="975">
        <f t="shared" si="0"/>
        <v>58</v>
      </c>
      <c r="B81" s="1061"/>
      <c r="C81" s="995"/>
      <c r="D81" s="1019"/>
      <c r="E81" s="1019"/>
      <c r="F81" s="1019"/>
      <c r="G81" s="1019"/>
      <c r="H81" s="1019"/>
      <c r="I81" s="1019"/>
      <c r="J81" s="1020"/>
      <c r="K81" s="1056"/>
    </row>
    <row r="82" spans="1:13" s="970" customFormat="1">
      <c r="A82" s="972"/>
      <c r="K82" s="1056"/>
    </row>
    <row r="83" spans="1:13" s="970" customFormat="1">
      <c r="A83" s="972" t="s">
        <v>642</v>
      </c>
    </row>
    <row r="84" spans="1:13" s="970" customFormat="1" ht="16.5">
      <c r="A84" s="972"/>
      <c r="B84" s="1072"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2"/>
      <c r="D84" s="1072"/>
      <c r="E84" s="1072"/>
      <c r="F84" s="1072"/>
      <c r="G84" s="1072"/>
      <c r="H84" s="1072"/>
      <c r="I84" s="1072"/>
      <c r="J84" s="1072"/>
      <c r="K84" s="1072"/>
      <c r="L84" s="1072"/>
    </row>
    <row r="85" spans="1:13" s="970" customFormat="1" ht="16.5">
      <c r="A85" s="972"/>
      <c r="B85" s="1072" t="s">
        <v>946</v>
      </c>
      <c r="C85" s="1072"/>
      <c r="D85" s="1072"/>
      <c r="E85" s="1072"/>
      <c r="F85" s="1072"/>
      <c r="G85" s="1072"/>
      <c r="H85" s="1072"/>
      <c r="I85" s="1072"/>
      <c r="J85" s="1072"/>
      <c r="K85" s="1072"/>
      <c r="L85" s="1072"/>
    </row>
    <row r="86" spans="1:13" s="970" customFormat="1" ht="16.5">
      <c r="A86" s="972"/>
      <c r="B86" s="1072" t="s">
        <v>1023</v>
      </c>
      <c r="C86" s="1072"/>
      <c r="D86" s="1072"/>
      <c r="E86" s="1072"/>
      <c r="F86" s="1072"/>
      <c r="G86" s="1072"/>
      <c r="H86" s="1072"/>
      <c r="I86" s="1072"/>
      <c r="J86" s="1072"/>
      <c r="K86" s="1072"/>
      <c r="L86" s="1072"/>
    </row>
    <row r="87" spans="1:13" s="970" customFormat="1" ht="16.5">
      <c r="A87" s="972"/>
      <c r="B87" s="1072" t="s">
        <v>643</v>
      </c>
      <c r="C87" s="1072"/>
      <c r="D87" s="1072"/>
      <c r="E87" s="1072"/>
      <c r="F87" s="1072"/>
      <c r="G87" s="1072"/>
      <c r="H87" s="1072"/>
      <c r="I87" s="1072"/>
      <c r="J87" s="1072"/>
      <c r="K87" s="1072"/>
      <c r="L87" s="1072"/>
    </row>
    <row r="88" spans="1:13" s="970" customFormat="1" ht="16.5">
      <c r="A88" s="972"/>
      <c r="B88" s="1072" t="s">
        <v>644</v>
      </c>
      <c r="C88" s="1072"/>
      <c r="D88" s="1072"/>
      <c r="E88" s="1072"/>
      <c r="F88" s="1072"/>
      <c r="G88" s="1072"/>
      <c r="H88" s="1072"/>
      <c r="I88" s="1072"/>
      <c r="J88" s="1072"/>
      <c r="K88" s="1072"/>
      <c r="L88" s="1072"/>
    </row>
    <row r="89" spans="1:13" s="970" customFormat="1" ht="16.5">
      <c r="A89" s="972"/>
      <c r="B89" s="1072" t="s">
        <v>645</v>
      </c>
      <c r="C89" s="1072"/>
      <c r="D89" s="1073"/>
      <c r="E89" s="1073"/>
      <c r="F89" s="1073"/>
      <c r="G89" s="1073"/>
      <c r="H89" s="1073"/>
      <c r="I89" s="1073"/>
      <c r="J89" s="1073"/>
      <c r="K89" s="1072"/>
      <c r="L89" s="1072"/>
    </row>
    <row r="90" spans="1:13" s="970" customFormat="1" ht="16.5">
      <c r="A90" s="972"/>
      <c r="B90" s="1072" t="s">
        <v>1022</v>
      </c>
      <c r="C90" s="1072"/>
      <c r="D90" s="1072"/>
      <c r="E90" s="1072"/>
      <c r="F90" s="1072"/>
      <c r="G90" s="1072"/>
      <c r="H90" s="1072"/>
      <c r="I90" s="1072"/>
      <c r="J90" s="1072"/>
      <c r="K90" s="1072"/>
      <c r="L90" s="1072"/>
    </row>
    <row r="91" spans="1:13" s="970" customFormat="1" ht="16.5">
      <c r="A91" s="972"/>
      <c r="B91" s="1072" t="s">
        <v>646</v>
      </c>
      <c r="C91" s="1072"/>
      <c r="D91" s="1072"/>
      <c r="E91" s="1072"/>
      <c r="F91" s="1072"/>
      <c r="G91" s="1072"/>
      <c r="H91" s="1072"/>
      <c r="I91" s="1072"/>
      <c r="J91" s="1072"/>
      <c r="K91" s="1072"/>
      <c r="L91" s="1072"/>
    </row>
    <row r="92" spans="1:13" s="970" customFormat="1" ht="16.5">
      <c r="A92" s="972"/>
      <c r="B92" s="1072" t="s">
        <v>647</v>
      </c>
      <c r="C92" s="1072"/>
      <c r="D92" s="1072"/>
      <c r="E92" s="1072"/>
      <c r="F92" s="1072"/>
      <c r="G92" s="1072"/>
      <c r="H92" s="1072"/>
      <c r="I92" s="1072"/>
      <c r="J92" s="1072"/>
      <c r="K92" s="1072"/>
      <c r="L92" s="1072"/>
    </row>
    <row r="93" spans="1:13" s="970" customFormat="1" ht="16.5">
      <c r="A93" s="972"/>
      <c r="B93" s="1074" t="s">
        <v>692</v>
      </c>
      <c r="C93" s="1072"/>
      <c r="D93" s="1072"/>
      <c r="E93" s="1072"/>
      <c r="F93" s="1072"/>
      <c r="G93" s="1072"/>
      <c r="H93" s="1072"/>
      <c r="I93" s="1072"/>
      <c r="J93" s="1072"/>
      <c r="K93" s="1072"/>
      <c r="L93" s="1072"/>
    </row>
    <row r="94" spans="1:13" s="970" customFormat="1" ht="16.5">
      <c r="A94" s="972"/>
      <c r="B94" s="1072" t="s">
        <v>648</v>
      </c>
      <c r="C94" s="1073"/>
      <c r="D94" s="1072"/>
      <c r="E94" s="1075"/>
      <c r="F94" s="1072"/>
      <c r="G94" s="1075"/>
      <c r="H94" s="1075"/>
      <c r="I94" s="1072"/>
      <c r="J94" s="1075"/>
      <c r="K94" s="1072"/>
      <c r="L94" s="1072"/>
    </row>
    <row r="95" spans="1:13" s="970" customFormat="1" ht="16.5">
      <c r="A95" s="972"/>
      <c r="B95" s="1236" t="s">
        <v>947</v>
      </c>
      <c r="C95" s="1237"/>
      <c r="D95" s="1238"/>
      <c r="E95" s="1238"/>
      <c r="F95" s="1237"/>
      <c r="G95" s="1237"/>
      <c r="H95" s="1237"/>
      <c r="I95" s="1237"/>
      <c r="J95" s="1237"/>
      <c r="K95" s="1237"/>
      <c r="L95" s="1203"/>
      <c r="M95" s="971"/>
    </row>
    <row r="96" spans="1:13" s="970" customFormat="1" ht="16.5">
      <c r="A96" s="972"/>
      <c r="B96" s="1236" t="s">
        <v>826</v>
      </c>
      <c r="C96" s="1237"/>
      <c r="D96" s="1238"/>
      <c r="E96" s="1238"/>
      <c r="F96" s="1237"/>
      <c r="G96" s="1237"/>
      <c r="H96" s="1237"/>
      <c r="I96" s="1237"/>
      <c r="J96" s="1237"/>
      <c r="K96" s="1237"/>
      <c r="L96" s="1203"/>
      <c r="M96" s="971"/>
    </row>
    <row r="97" spans="1:13" s="970" customFormat="1" ht="16.5">
      <c r="A97" s="972"/>
      <c r="B97" s="1239" t="s">
        <v>827</v>
      </c>
      <c r="C97" s="1237"/>
      <c r="D97" s="1238"/>
      <c r="E97" s="1238"/>
      <c r="F97" s="1237"/>
      <c r="G97" s="1237"/>
      <c r="H97" s="1237"/>
      <c r="I97" s="1237"/>
      <c r="J97" s="1237"/>
      <c r="K97" s="1237"/>
      <c r="L97" s="1203"/>
      <c r="M97" s="971"/>
    </row>
    <row r="98" spans="1:13" s="970" customFormat="1" ht="16.5">
      <c r="A98" s="972"/>
      <c r="B98" s="1240" t="s">
        <v>828</v>
      </c>
      <c r="C98" s="1241"/>
      <c r="D98" s="1242"/>
      <c r="E98" s="1238"/>
      <c r="F98" s="1237"/>
      <c r="G98" s="1237"/>
      <c r="H98" s="1237"/>
      <c r="I98" s="1237"/>
      <c r="J98" s="1237"/>
      <c r="K98" s="1237"/>
      <c r="L98" s="1203"/>
      <c r="M98" s="971"/>
    </row>
    <row r="99" spans="1:13" s="970" customFormat="1" ht="16.5">
      <c r="A99" s="972"/>
      <c r="B99" s="1072" t="s">
        <v>649</v>
      </c>
      <c r="C99" s="1072"/>
      <c r="D99" s="1076"/>
      <c r="E99" s="1076"/>
      <c r="F99" s="1072"/>
      <c r="G99" s="1072"/>
      <c r="H99" s="1072"/>
      <c r="I99" s="1072"/>
      <c r="J99" s="1072"/>
      <c r="K99" s="1072"/>
      <c r="L99" s="1072"/>
    </row>
    <row r="100" spans="1:13" s="970" customFormat="1" ht="16.5">
      <c r="A100" s="972"/>
      <c r="B100" s="1072" t="s">
        <v>1024</v>
      </c>
      <c r="C100" s="1072"/>
      <c r="D100" s="1076"/>
      <c r="E100" s="1076"/>
      <c r="F100" s="1072"/>
      <c r="G100" s="1072"/>
      <c r="H100" s="1072"/>
      <c r="I100" s="1072"/>
      <c r="J100" s="1072"/>
      <c r="K100" s="1072"/>
      <c r="L100" s="1072"/>
    </row>
    <row r="101" spans="1:13" s="970" customFormat="1" ht="16.5">
      <c r="A101" s="972"/>
      <c r="B101" s="1072" t="s">
        <v>1031</v>
      </c>
      <c r="C101" s="1072"/>
      <c r="D101" s="1076"/>
      <c r="E101" s="1076"/>
      <c r="F101" s="1072"/>
      <c r="G101" s="1072"/>
      <c r="H101" s="1072"/>
      <c r="I101" s="1072"/>
      <c r="J101" s="1072"/>
      <c r="K101" s="1072"/>
      <c r="L101" s="1072"/>
    </row>
    <row r="102" spans="1:13" s="970" customFormat="1" ht="16.5">
      <c r="A102" s="972"/>
      <c r="B102" s="1072" t="s">
        <v>650</v>
      </c>
      <c r="C102" s="1072"/>
      <c r="D102" s="1076"/>
      <c r="E102" s="1076"/>
      <c r="F102" s="1072"/>
      <c r="G102" s="1072"/>
      <c r="H102" s="1072"/>
      <c r="I102" s="1072"/>
      <c r="J102" s="1072"/>
      <c r="K102" s="1072"/>
      <c r="L102" s="1072"/>
    </row>
    <row r="103" spans="1:13" s="970" customFormat="1" ht="16.5">
      <c r="A103" s="972"/>
      <c r="B103" s="1072"/>
      <c r="C103" s="1072" t="s">
        <v>659</v>
      </c>
      <c r="D103" s="1072"/>
      <c r="E103" s="1072"/>
      <c r="F103" s="1072"/>
      <c r="G103" s="1072"/>
      <c r="H103" s="1072"/>
      <c r="I103" s="1072"/>
      <c r="J103" s="1072"/>
      <c r="K103" s="1072"/>
      <c r="L103" s="1072"/>
    </row>
    <row r="104" spans="1:13" s="970" customFormat="1" ht="16.5">
      <c r="A104" s="972"/>
      <c r="B104" s="1077" t="s">
        <v>651</v>
      </c>
      <c r="C104" s="1072" t="s">
        <v>652</v>
      </c>
      <c r="D104" s="1072"/>
      <c r="E104" s="1072"/>
      <c r="F104" s="1072"/>
      <c r="G104" s="1072"/>
      <c r="H104" s="1072"/>
      <c r="I104" s="1072"/>
      <c r="J104" s="1072"/>
      <c r="K104" s="1072"/>
      <c r="L104" s="1072"/>
    </row>
    <row r="105" spans="1:13" s="970" customFormat="1" ht="16.5">
      <c r="A105" s="972"/>
      <c r="B105" s="1077" t="s">
        <v>653</v>
      </c>
      <c r="C105" s="1072" t="s">
        <v>948</v>
      </c>
      <c r="D105" s="1072"/>
      <c r="E105" s="1072"/>
      <c r="F105" s="1072"/>
      <c r="G105" s="1072"/>
      <c r="H105" s="1072"/>
      <c r="I105" s="1072"/>
      <c r="J105" s="1072"/>
      <c r="K105" s="1072"/>
      <c r="L105" s="1072"/>
    </row>
    <row r="106" spans="1:13" s="970" customFormat="1" ht="16.5">
      <c r="A106" s="972"/>
      <c r="B106" s="1077" t="s">
        <v>654</v>
      </c>
      <c r="C106" s="1072" t="s">
        <v>655</v>
      </c>
      <c r="D106" s="1072"/>
      <c r="E106" s="1072"/>
      <c r="F106" s="1072"/>
      <c r="G106" s="1072"/>
      <c r="H106" s="1072"/>
      <c r="I106" s="1072"/>
      <c r="J106" s="1072"/>
      <c r="K106" s="1072"/>
      <c r="L106" s="1072"/>
    </row>
    <row r="107" spans="1:13" s="970" customFormat="1" ht="16.5">
      <c r="A107" s="972"/>
      <c r="B107" s="1072" t="s">
        <v>656</v>
      </c>
      <c r="C107" s="1078"/>
      <c r="D107" s="1072"/>
      <c r="E107" s="1072"/>
      <c r="F107" s="1072"/>
      <c r="G107" s="1072"/>
      <c r="H107" s="1072"/>
      <c r="I107" s="1072"/>
      <c r="J107" s="1072"/>
      <c r="K107" s="1072"/>
      <c r="L107" s="1072"/>
    </row>
    <row r="108" spans="1:13" s="970" customFormat="1" ht="16.5">
      <c r="A108" s="972"/>
      <c r="B108" s="1072" t="s">
        <v>690</v>
      </c>
      <c r="C108" s="1072"/>
      <c r="D108" s="1072"/>
      <c r="E108" s="1072"/>
      <c r="F108" s="1072"/>
      <c r="G108" s="1072"/>
      <c r="H108" s="1072"/>
      <c r="I108" s="1072"/>
      <c r="J108" s="1072"/>
      <c r="K108" s="1072"/>
      <c r="L108" s="1072"/>
    </row>
    <row r="109" spans="1:13" s="970" customFormat="1" ht="16.5">
      <c r="A109" s="972"/>
      <c r="B109" s="1072" t="s">
        <v>950</v>
      </c>
      <c r="C109" s="1072"/>
      <c r="D109" s="1072"/>
      <c r="E109" s="1072"/>
      <c r="F109" s="1072"/>
      <c r="G109" s="1072"/>
      <c r="H109" s="1072"/>
      <c r="I109" s="1072"/>
      <c r="J109" s="1072"/>
      <c r="K109" s="1072"/>
      <c r="L109" s="1072"/>
    </row>
    <row r="110" spans="1:13" s="970" customFormat="1" ht="16.5">
      <c r="A110" s="972"/>
      <c r="B110" s="1072" t="s">
        <v>949</v>
      </c>
      <c r="C110" s="1072"/>
      <c r="D110" s="1073"/>
      <c r="E110" s="1073"/>
      <c r="F110" s="1073"/>
      <c r="G110" s="1073"/>
      <c r="H110" s="1073"/>
      <c r="I110" s="1073"/>
      <c r="J110" s="1073"/>
      <c r="K110" s="1072"/>
      <c r="L110" s="1072"/>
    </row>
    <row r="111" spans="1:13" s="970" customFormat="1" ht="84.75" customHeight="1">
      <c r="A111" s="972"/>
      <c r="B111" s="1592" t="s">
        <v>1025</v>
      </c>
      <c r="C111" s="1592"/>
      <c r="D111" s="1592"/>
      <c r="E111" s="1592"/>
      <c r="F111" s="1592"/>
      <c r="G111" s="1592"/>
      <c r="H111" s="1592"/>
      <c r="I111" s="1592"/>
      <c r="J111" s="1592"/>
      <c r="K111" s="1080"/>
      <c r="L111" s="1072"/>
    </row>
    <row r="112" spans="1:13" s="970" customFormat="1" ht="16.5">
      <c r="A112" s="1063"/>
      <c r="B112" s="1072"/>
      <c r="C112" s="1072"/>
      <c r="D112" s="1072"/>
      <c r="E112" s="1072"/>
      <c r="F112" s="1072"/>
      <c r="G112" s="1072"/>
      <c r="H112" s="1072"/>
      <c r="I112" s="1072"/>
      <c r="J112" s="1072"/>
      <c r="K112" s="1072"/>
      <c r="L112" s="1072"/>
    </row>
    <row r="113" spans="1:12" s="970" customFormat="1" ht="16.5">
      <c r="A113" s="1063"/>
      <c r="B113" s="1072"/>
      <c r="C113" s="1072"/>
      <c r="D113" s="1072"/>
      <c r="E113" s="1072"/>
      <c r="F113" s="1072"/>
      <c r="G113" s="1072"/>
      <c r="H113" s="1072"/>
      <c r="I113" s="1072"/>
      <c r="J113" s="1072"/>
      <c r="K113" s="1072"/>
      <c r="L113" s="1072"/>
    </row>
    <row r="114" spans="1:12" s="970" customFormat="1" ht="16.5">
      <c r="A114" s="1063"/>
      <c r="B114" s="1072"/>
      <c r="C114" s="1072"/>
      <c r="D114" s="1072"/>
      <c r="E114" s="1072"/>
      <c r="F114" s="1072"/>
      <c r="G114" s="1072"/>
      <c r="H114" s="1072"/>
      <c r="I114" s="1072"/>
      <c r="J114" s="1072"/>
      <c r="K114" s="1072"/>
      <c r="L114" s="1072"/>
    </row>
    <row r="115" spans="1:12" s="970" customFormat="1" ht="16.5">
      <c r="A115" s="1063"/>
      <c r="B115" s="1072"/>
      <c r="C115" s="1072"/>
      <c r="D115" s="1072"/>
      <c r="E115" s="1072"/>
      <c r="F115" s="1072"/>
      <c r="G115" s="1072"/>
      <c r="H115" s="1072"/>
      <c r="I115" s="1072"/>
      <c r="J115" s="1072"/>
      <c r="K115" s="1072"/>
      <c r="L115" s="1072"/>
    </row>
    <row r="116" spans="1:12" ht="16.5">
      <c r="B116" s="1072"/>
      <c r="C116" s="1072"/>
      <c r="D116" s="1072"/>
      <c r="E116" s="1072"/>
      <c r="F116" s="1072"/>
      <c r="G116" s="1072"/>
      <c r="H116" s="1072"/>
      <c r="I116" s="1072"/>
      <c r="J116" s="1072"/>
      <c r="K116" s="1072"/>
      <c r="L116" s="1073"/>
    </row>
    <row r="117" spans="1:12" ht="16.5">
      <c r="B117" s="1071"/>
      <c r="C117" s="1072"/>
      <c r="D117" s="1072"/>
      <c r="E117" s="1073"/>
      <c r="F117" s="1073"/>
      <c r="G117" s="1073"/>
      <c r="H117" s="1073"/>
      <c r="I117" s="1073"/>
      <c r="J117" s="1073"/>
      <c r="K117" s="1072"/>
      <c r="L117" s="1073"/>
    </row>
    <row r="118" spans="1:12" ht="16.5">
      <c r="B118" s="1072"/>
      <c r="C118" s="1072"/>
      <c r="D118" s="1072"/>
      <c r="E118" s="1073"/>
      <c r="F118" s="1073"/>
      <c r="G118" s="1073"/>
      <c r="H118" s="1073"/>
      <c r="I118" s="1073"/>
      <c r="J118" s="1073"/>
      <c r="K118" s="1072"/>
      <c r="L118" s="1073"/>
    </row>
    <row r="119" spans="1:12" ht="16.5">
      <c r="B119" s="1072"/>
      <c r="C119" s="1072"/>
      <c r="D119" s="1072"/>
      <c r="E119" s="1073"/>
      <c r="F119" s="1073"/>
      <c r="G119" s="1073"/>
      <c r="H119" s="1073"/>
      <c r="I119" s="1073"/>
      <c r="J119" s="1073"/>
      <c r="K119" s="1072"/>
      <c r="L119" s="1073"/>
    </row>
    <row r="120" spans="1:12" ht="16.5">
      <c r="B120" s="1072"/>
      <c r="C120" s="1072"/>
      <c r="D120" s="1073"/>
      <c r="E120" s="1072"/>
      <c r="F120" s="1072"/>
      <c r="G120" s="1072"/>
      <c r="H120" s="1072"/>
      <c r="I120" s="1072"/>
      <c r="J120" s="1072"/>
      <c r="K120" s="1072"/>
      <c r="L120" s="1073"/>
    </row>
    <row r="121" spans="1:12" ht="16.5">
      <c r="B121" s="1074"/>
      <c r="C121" s="1072"/>
      <c r="D121" s="1072"/>
      <c r="E121" s="1072"/>
      <c r="F121" s="1072"/>
      <c r="G121" s="1072"/>
      <c r="H121" s="1072"/>
      <c r="I121" s="1072"/>
      <c r="J121" s="1072"/>
      <c r="K121" s="1072"/>
      <c r="L121" s="1073"/>
    </row>
    <row r="122" spans="1:12" ht="16.5">
      <c r="B122" s="1072"/>
      <c r="C122" s="1072"/>
      <c r="D122" s="1072"/>
      <c r="E122" s="1072"/>
      <c r="F122" s="1072"/>
      <c r="G122" s="1072"/>
      <c r="H122" s="1072"/>
      <c r="I122" s="1072"/>
      <c r="J122" s="1072"/>
      <c r="K122" s="1072"/>
      <c r="L122" s="1073"/>
    </row>
    <row r="123" spans="1:12" ht="16.5">
      <c r="B123" s="1072"/>
      <c r="C123" s="1072"/>
      <c r="D123" s="1072"/>
      <c r="E123" s="1072"/>
      <c r="F123" s="1072"/>
      <c r="G123" s="1072"/>
      <c r="H123" s="1072"/>
      <c r="I123" s="1072"/>
      <c r="J123" s="1072"/>
      <c r="K123" s="1072"/>
      <c r="L123" s="1073"/>
    </row>
    <row r="124" spans="1:12" ht="16.5">
      <c r="B124" s="1072"/>
      <c r="C124" s="1072"/>
      <c r="D124" s="1072"/>
      <c r="E124" s="1075"/>
      <c r="F124" s="1072"/>
      <c r="G124" s="1075"/>
      <c r="H124" s="1075"/>
      <c r="I124" s="1072"/>
      <c r="J124" s="1075"/>
      <c r="K124" s="1072"/>
      <c r="L124" s="1073"/>
    </row>
    <row r="125" spans="1:12" ht="16.5">
      <c r="B125" s="1072"/>
      <c r="C125" s="1072"/>
      <c r="D125" s="1072"/>
      <c r="E125" s="1079"/>
      <c r="F125" s="1072"/>
      <c r="G125" s="1072"/>
      <c r="H125" s="1072"/>
      <c r="I125" s="1072"/>
      <c r="J125" s="1072"/>
      <c r="K125" s="1072"/>
      <c r="L125" s="1073"/>
    </row>
    <row r="126" spans="1:12" ht="16.5">
      <c r="B126" s="1072"/>
      <c r="C126" s="1072"/>
      <c r="D126" s="1079"/>
      <c r="E126" s="1079"/>
      <c r="F126" s="1072"/>
      <c r="G126" s="1072"/>
      <c r="H126" s="1072"/>
      <c r="I126" s="1072"/>
      <c r="J126" s="1072"/>
      <c r="K126" s="1072"/>
      <c r="L126" s="1073"/>
    </row>
    <row r="127" spans="1:12" ht="16.5">
      <c r="B127" s="1072"/>
      <c r="C127" s="1072"/>
      <c r="D127" s="1079"/>
      <c r="E127" s="1079"/>
      <c r="F127" s="1072"/>
      <c r="G127" s="1072"/>
      <c r="H127" s="1072"/>
      <c r="I127" s="1072"/>
      <c r="J127" s="1072"/>
      <c r="K127" s="1072"/>
      <c r="L127" s="1073"/>
    </row>
    <row r="128" spans="1:12" ht="16.5">
      <c r="B128" s="1072"/>
      <c r="C128" s="1072"/>
      <c r="D128" s="1079"/>
      <c r="E128" s="1079"/>
      <c r="F128" s="1072"/>
      <c r="G128" s="1072"/>
      <c r="H128" s="1072"/>
      <c r="I128" s="1072"/>
      <c r="J128" s="1072"/>
      <c r="K128" s="1072"/>
      <c r="L128" s="1073"/>
    </row>
    <row r="129" spans="2:12" ht="16.5">
      <c r="B129" s="1072"/>
      <c r="C129" s="1072"/>
      <c r="D129" s="1079"/>
      <c r="E129" s="1079"/>
      <c r="F129" s="1072"/>
      <c r="G129" s="1072"/>
      <c r="H129" s="1072"/>
      <c r="I129" s="1072"/>
      <c r="J129" s="1072"/>
      <c r="K129" s="1072"/>
      <c r="L129" s="1073"/>
    </row>
    <row r="130" spans="2:12" ht="16.5">
      <c r="B130" s="1072"/>
      <c r="C130" s="1072"/>
      <c r="D130" s="1079"/>
      <c r="E130" s="1079"/>
      <c r="F130" s="1072"/>
      <c r="G130" s="1072"/>
      <c r="H130" s="1072"/>
      <c r="I130" s="1072"/>
      <c r="J130" s="1072"/>
      <c r="K130" s="1072"/>
      <c r="L130" s="1073"/>
    </row>
    <row r="131" spans="2:12" ht="16.5">
      <c r="B131" s="1072"/>
      <c r="C131" s="1072"/>
      <c r="D131" s="1079"/>
      <c r="E131" s="1079"/>
      <c r="F131" s="1072"/>
      <c r="G131" s="1072"/>
      <c r="H131" s="1072"/>
      <c r="I131" s="1072"/>
      <c r="J131" s="1072"/>
      <c r="K131" s="1072"/>
      <c r="L131" s="1073"/>
    </row>
    <row r="132" spans="2:12" ht="16.5">
      <c r="B132" s="1077"/>
      <c r="C132" s="1072"/>
      <c r="D132" s="1079"/>
      <c r="E132" s="1079"/>
      <c r="F132" s="1072"/>
      <c r="G132" s="1072"/>
      <c r="H132" s="1072"/>
      <c r="I132" s="1072"/>
      <c r="J132" s="1072"/>
      <c r="K132" s="1072"/>
      <c r="L132" s="1073"/>
    </row>
    <row r="133" spans="2:12" ht="16.5">
      <c r="B133" s="1077"/>
      <c r="C133" s="1072"/>
      <c r="D133" s="1079"/>
      <c r="E133" s="1072"/>
      <c r="F133" s="1072"/>
      <c r="G133" s="1072"/>
      <c r="H133" s="1072"/>
      <c r="I133" s="1072"/>
      <c r="J133" s="1072"/>
      <c r="K133" s="1072"/>
      <c r="L133" s="1073"/>
    </row>
    <row r="134" spans="2:12" ht="16.5">
      <c r="B134" s="1077"/>
      <c r="C134" s="1072"/>
      <c r="D134" s="1072"/>
      <c r="E134" s="1072"/>
      <c r="F134" s="1072"/>
      <c r="G134" s="1072"/>
      <c r="H134" s="1072"/>
      <c r="I134" s="1072"/>
      <c r="J134" s="1072"/>
      <c r="K134" s="1072"/>
      <c r="L134" s="1073"/>
    </row>
    <row r="135" spans="2:12" ht="16.5">
      <c r="B135" s="1072"/>
      <c r="C135" s="1072"/>
      <c r="D135" s="1072"/>
      <c r="E135" s="1072"/>
      <c r="F135" s="1072"/>
      <c r="G135" s="1072"/>
      <c r="H135" s="1072"/>
      <c r="I135" s="1072"/>
      <c r="J135" s="1072"/>
      <c r="K135" s="1072"/>
      <c r="L135" s="1073"/>
    </row>
    <row r="136" spans="2:12" ht="16.5">
      <c r="B136" s="1072"/>
      <c r="C136" s="1072"/>
      <c r="D136" s="1072"/>
      <c r="E136" s="1072"/>
      <c r="F136" s="1072"/>
      <c r="G136" s="1072"/>
      <c r="H136" s="1072"/>
      <c r="I136" s="1072"/>
      <c r="J136" s="1072"/>
      <c r="K136" s="1072"/>
      <c r="L136" s="1073"/>
    </row>
    <row r="137" spans="2:12" ht="16.5">
      <c r="B137" s="1073"/>
      <c r="C137" s="1073"/>
      <c r="D137" s="1073"/>
      <c r="E137" s="1073"/>
      <c r="F137" s="1073"/>
      <c r="G137" s="1073"/>
      <c r="H137" s="1073"/>
      <c r="I137" s="1073"/>
      <c r="J137" s="1073"/>
      <c r="K137" s="1073"/>
      <c r="L137" s="1073"/>
    </row>
    <row r="138" spans="2:12" ht="16.5">
      <c r="B138" s="1073"/>
      <c r="C138" s="1073"/>
      <c r="D138" s="1073"/>
      <c r="E138" s="1073"/>
      <c r="F138" s="1073"/>
      <c r="G138" s="1073"/>
      <c r="H138" s="1073"/>
      <c r="I138" s="1073"/>
      <c r="J138" s="1073"/>
      <c r="K138" s="1073"/>
      <c r="L138" s="1073"/>
    </row>
    <row r="139" spans="2:12" ht="16.5">
      <c r="B139" s="1073"/>
      <c r="C139" s="1073"/>
      <c r="D139" s="1073"/>
      <c r="E139" s="1073"/>
      <c r="F139" s="1073"/>
      <c r="G139" s="1073"/>
      <c r="H139" s="1073"/>
      <c r="I139" s="1073"/>
      <c r="J139" s="1073"/>
      <c r="K139" s="1073"/>
      <c r="L139" s="1073"/>
    </row>
    <row r="140" spans="2:12" ht="16.5">
      <c r="B140" s="1073"/>
      <c r="C140" s="1073"/>
      <c r="D140" s="1073"/>
      <c r="E140" s="1073"/>
      <c r="F140" s="1073"/>
      <c r="G140" s="1073"/>
      <c r="H140" s="1073"/>
      <c r="I140" s="1073"/>
      <c r="J140" s="1073"/>
      <c r="K140" s="1073"/>
      <c r="L140" s="1073"/>
    </row>
    <row r="141" spans="2:12" ht="16.5">
      <c r="B141" s="1073"/>
      <c r="C141" s="1073"/>
      <c r="D141" s="1073"/>
      <c r="E141" s="1073"/>
      <c r="F141" s="1073"/>
      <c r="G141" s="1073"/>
      <c r="H141" s="1073"/>
      <c r="I141" s="1073"/>
      <c r="J141" s="1073"/>
      <c r="K141" s="1073"/>
      <c r="L141" s="1073"/>
    </row>
    <row r="142" spans="2:12" ht="16.5">
      <c r="B142" s="1073"/>
      <c r="C142" s="1073"/>
      <c r="D142" s="1073"/>
      <c r="E142" s="1073"/>
      <c r="F142" s="1073"/>
      <c r="G142" s="1073"/>
      <c r="H142" s="1073"/>
      <c r="I142" s="1073"/>
      <c r="J142" s="1073"/>
      <c r="K142" s="1073"/>
      <c r="L142" s="1073"/>
    </row>
    <row r="143" spans="2:12" ht="16.5">
      <c r="B143" s="1073"/>
      <c r="C143" s="1073"/>
      <c r="D143" s="1073"/>
      <c r="E143" s="1073"/>
      <c r="F143" s="1073"/>
      <c r="G143" s="1073"/>
      <c r="H143" s="1073"/>
      <c r="I143" s="1073"/>
      <c r="J143" s="1073"/>
      <c r="K143" s="1073"/>
      <c r="L143" s="1073"/>
    </row>
    <row r="144" spans="2:12" ht="16.5">
      <c r="B144" s="1073"/>
      <c r="C144" s="1073"/>
      <c r="D144" s="1073"/>
      <c r="E144" s="1073"/>
      <c r="F144" s="1073"/>
      <c r="G144" s="1073"/>
      <c r="H144" s="1073"/>
      <c r="I144" s="1073"/>
      <c r="J144" s="1073"/>
      <c r="K144" s="1073"/>
      <c r="L144" s="1073"/>
    </row>
    <row r="145" spans="2:12" ht="16.5">
      <c r="B145" s="1073"/>
      <c r="C145" s="1073"/>
      <c r="D145" s="1073"/>
      <c r="E145" s="1073"/>
      <c r="F145" s="1073"/>
      <c r="G145" s="1073"/>
      <c r="H145" s="1073"/>
      <c r="I145" s="1073"/>
      <c r="J145" s="1073"/>
      <c r="K145" s="1073"/>
      <c r="L145" s="1073"/>
    </row>
    <row r="146" spans="2:12" ht="16.5">
      <c r="B146" s="1073"/>
      <c r="C146" s="1073"/>
      <c r="D146" s="1073"/>
      <c r="E146" s="1073"/>
      <c r="F146" s="1073"/>
      <c r="G146" s="1073"/>
      <c r="H146" s="1073"/>
      <c r="I146" s="1073"/>
      <c r="J146" s="1073"/>
      <c r="K146" s="1073"/>
      <c r="L146" s="1073"/>
    </row>
    <row r="147" spans="2:12" ht="16.5">
      <c r="B147" s="1073"/>
      <c r="C147" s="1073"/>
      <c r="D147" s="1073"/>
      <c r="E147" s="1073"/>
      <c r="F147" s="1073"/>
      <c r="G147" s="1073"/>
      <c r="H147" s="1073"/>
      <c r="I147" s="1073"/>
      <c r="J147" s="1073"/>
      <c r="K147" s="1073"/>
      <c r="L147" s="1073"/>
    </row>
    <row r="148" spans="2:12" ht="16.5">
      <c r="B148" s="1073"/>
      <c r="C148" s="1073"/>
      <c r="D148" s="1073"/>
      <c r="E148" s="1073"/>
      <c r="F148" s="1073"/>
      <c r="G148" s="1073"/>
      <c r="H148" s="1073"/>
      <c r="I148" s="1073"/>
      <c r="J148" s="1073"/>
      <c r="K148" s="1073"/>
      <c r="L148" s="1073"/>
    </row>
    <row r="149" spans="2:12" ht="16.5">
      <c r="B149" s="1073"/>
      <c r="C149" s="1073"/>
      <c r="D149" s="1073"/>
      <c r="E149" s="1073"/>
      <c r="F149" s="1073"/>
      <c r="G149" s="1073"/>
      <c r="H149" s="1073"/>
      <c r="I149" s="1073"/>
      <c r="J149" s="1073"/>
      <c r="K149" s="1073"/>
      <c r="L149" s="1073"/>
    </row>
    <row r="150" spans="2:12" ht="16.5">
      <c r="B150" s="1073"/>
      <c r="C150" s="1073"/>
      <c r="D150" s="1073"/>
      <c r="E150" s="1073"/>
      <c r="F150" s="1073"/>
      <c r="G150" s="1073"/>
      <c r="H150" s="1073"/>
      <c r="I150" s="1073"/>
      <c r="J150" s="1073"/>
      <c r="K150" s="1073"/>
      <c r="L150" s="1073"/>
    </row>
    <row r="151" spans="2:12" ht="16.5">
      <c r="B151" s="1073"/>
      <c r="C151" s="1073"/>
      <c r="D151" s="1073"/>
      <c r="E151" s="1073"/>
      <c r="F151" s="1073"/>
      <c r="G151" s="1073"/>
      <c r="H151" s="1073"/>
      <c r="I151" s="1073"/>
      <c r="J151" s="1073"/>
      <c r="K151" s="1073"/>
      <c r="L151" s="1073"/>
    </row>
    <row r="152" spans="2:12" ht="16.5">
      <c r="B152" s="1073"/>
      <c r="C152" s="1073"/>
      <c r="D152" s="1073"/>
      <c r="E152" s="1073"/>
      <c r="F152" s="1073"/>
      <c r="G152" s="1073"/>
      <c r="H152" s="1073"/>
      <c r="I152" s="1073"/>
      <c r="J152" s="1073"/>
      <c r="K152" s="1073"/>
      <c r="L152" s="1073"/>
    </row>
    <row r="153" spans="2:12" ht="16.5">
      <c r="B153" s="1073"/>
      <c r="C153" s="1073"/>
      <c r="D153" s="1073"/>
      <c r="E153" s="1073"/>
      <c r="F153" s="1073"/>
      <c r="G153" s="1073"/>
      <c r="H153" s="1073"/>
      <c r="I153" s="1073"/>
      <c r="J153" s="1073"/>
      <c r="K153" s="1073"/>
      <c r="L153" s="1073"/>
    </row>
    <row r="154" spans="2:12" ht="16.5">
      <c r="B154" s="1073"/>
      <c r="C154" s="1073"/>
      <c r="D154" s="1073"/>
      <c r="E154" s="1073"/>
      <c r="F154" s="1073"/>
      <c r="G154" s="1073"/>
      <c r="H154" s="1073"/>
      <c r="I154" s="1073"/>
      <c r="J154" s="1073"/>
      <c r="K154" s="1073"/>
      <c r="L154" s="1073"/>
    </row>
    <row r="155" spans="2:12" ht="16.5">
      <c r="B155" s="1073"/>
      <c r="C155" s="1073"/>
      <c r="D155" s="1073"/>
      <c r="E155" s="1073"/>
      <c r="F155" s="1073"/>
      <c r="G155" s="1073"/>
      <c r="H155" s="1073"/>
      <c r="I155" s="1073"/>
      <c r="J155" s="1073"/>
      <c r="K155" s="1073"/>
      <c r="L155" s="1073"/>
    </row>
    <row r="156" spans="2:12" ht="16.5">
      <c r="B156" s="1073"/>
      <c r="C156" s="1073"/>
      <c r="D156" s="1073"/>
      <c r="E156" s="1073"/>
      <c r="F156" s="1073"/>
      <c r="G156" s="1073"/>
      <c r="H156" s="1073"/>
      <c r="I156" s="1073"/>
      <c r="J156" s="1073"/>
      <c r="K156" s="1073"/>
      <c r="L156" s="1073"/>
    </row>
    <row r="157" spans="2:12" ht="16.5">
      <c r="B157" s="1073"/>
      <c r="C157" s="1073"/>
      <c r="D157" s="1073"/>
      <c r="E157" s="1073"/>
      <c r="F157" s="1073"/>
      <c r="G157" s="1073"/>
      <c r="H157" s="1073"/>
      <c r="I157" s="1073"/>
      <c r="J157" s="1073"/>
      <c r="K157" s="1073"/>
      <c r="L157" s="1073"/>
    </row>
    <row r="158" spans="2:12" ht="16.5">
      <c r="B158" s="1073"/>
      <c r="C158" s="1073"/>
      <c r="D158" s="1073"/>
      <c r="E158" s="1073"/>
      <c r="F158" s="1073"/>
      <c r="G158" s="1073"/>
      <c r="H158" s="1073"/>
      <c r="I158" s="1073"/>
      <c r="J158" s="1073"/>
      <c r="K158" s="1073"/>
      <c r="L158" s="1073"/>
    </row>
    <row r="159" spans="2:12" ht="16.5">
      <c r="B159" s="1073"/>
      <c r="C159" s="1073"/>
      <c r="D159" s="1073"/>
      <c r="E159" s="1073"/>
      <c r="F159" s="1073"/>
      <c r="G159" s="1073"/>
      <c r="H159" s="1073"/>
      <c r="I159" s="1073"/>
      <c r="J159" s="1073"/>
      <c r="K159" s="1073"/>
      <c r="L159" s="1073"/>
    </row>
    <row r="160" spans="2:12" ht="16.5">
      <c r="B160" s="1073"/>
      <c r="C160" s="1073"/>
      <c r="D160" s="1073"/>
      <c r="E160" s="1073"/>
      <c r="F160" s="1073"/>
      <c r="G160" s="1073"/>
      <c r="H160" s="1073"/>
      <c r="I160" s="1073"/>
      <c r="J160" s="1073"/>
      <c r="K160" s="1073"/>
      <c r="L160" s="1073"/>
    </row>
    <row r="161" spans="2:12" ht="16.5">
      <c r="B161" s="1073"/>
      <c r="C161" s="1073"/>
      <c r="D161" s="1073"/>
      <c r="E161" s="1073"/>
      <c r="F161" s="1073"/>
      <c r="G161" s="1073"/>
      <c r="H161" s="1073"/>
      <c r="I161" s="1073"/>
      <c r="J161" s="1073"/>
      <c r="K161" s="1073"/>
      <c r="L161" s="1073"/>
    </row>
    <row r="162" spans="2:12" ht="16.5">
      <c r="B162" s="1073"/>
      <c r="C162" s="1073"/>
      <c r="D162" s="1073"/>
      <c r="E162" s="1073"/>
      <c r="F162" s="1073"/>
      <c r="G162" s="1073"/>
      <c r="H162" s="1073"/>
      <c r="I162" s="1073"/>
      <c r="J162" s="1073"/>
      <c r="K162" s="1073"/>
      <c r="L162" s="1073"/>
    </row>
    <row r="163" spans="2:12" ht="16.5">
      <c r="B163" s="1073"/>
      <c r="C163" s="1073"/>
      <c r="D163" s="1073"/>
      <c r="E163" s="1073"/>
      <c r="F163" s="1073"/>
      <c r="G163" s="1073"/>
      <c r="H163" s="1073"/>
      <c r="I163" s="1073"/>
      <c r="J163" s="1073"/>
      <c r="K163" s="1073"/>
      <c r="L163" s="1073"/>
    </row>
    <row r="164" spans="2:12" ht="16.5">
      <c r="B164" s="1073"/>
      <c r="C164" s="1073"/>
      <c r="D164" s="1073"/>
      <c r="E164" s="1073"/>
      <c r="F164" s="1073"/>
      <c r="G164" s="1073"/>
      <c r="H164" s="1073"/>
      <c r="I164" s="1073"/>
      <c r="J164" s="1073"/>
      <c r="K164" s="1073"/>
      <c r="L164" s="1073"/>
    </row>
    <row r="165" spans="2:12" ht="16.5">
      <c r="B165" s="1073"/>
      <c r="C165" s="1073"/>
      <c r="D165" s="1073"/>
      <c r="E165" s="1073"/>
      <c r="F165" s="1073"/>
      <c r="G165" s="1073"/>
      <c r="H165" s="1073"/>
      <c r="I165" s="1073"/>
      <c r="J165" s="1073"/>
      <c r="K165" s="1073"/>
      <c r="L165" s="1073"/>
    </row>
    <row r="166" spans="2:12" ht="16.5">
      <c r="B166" s="1073"/>
      <c r="C166" s="1073"/>
      <c r="D166" s="1073"/>
      <c r="E166" s="1073"/>
      <c r="F166" s="1073"/>
      <c r="G166" s="1073"/>
      <c r="H166" s="1073"/>
      <c r="I166" s="1073"/>
      <c r="J166" s="1073"/>
      <c r="K166" s="1073"/>
      <c r="L166" s="1073"/>
    </row>
    <row r="167" spans="2:12" ht="16.5">
      <c r="B167" s="1073"/>
      <c r="C167" s="1073"/>
      <c r="D167" s="1073"/>
      <c r="E167" s="1073"/>
      <c r="F167" s="1073"/>
      <c r="G167" s="1073"/>
      <c r="H167" s="1073"/>
      <c r="I167" s="1073"/>
      <c r="J167" s="1073"/>
      <c r="K167" s="1073"/>
      <c r="L167" s="1073"/>
    </row>
    <row r="168" spans="2:12" ht="16.5">
      <c r="B168" s="1073"/>
      <c r="C168" s="1073"/>
      <c r="D168" s="1073"/>
      <c r="E168" s="1073"/>
      <c r="F168" s="1073"/>
      <c r="G168" s="1073"/>
      <c r="H168" s="1073"/>
      <c r="I168" s="1073"/>
      <c r="J168" s="1073"/>
      <c r="K168" s="1073"/>
      <c r="L168" s="1073"/>
    </row>
    <row r="169" spans="2:12" ht="16.5">
      <c r="B169" s="1073"/>
      <c r="C169" s="1073"/>
      <c r="D169" s="1073"/>
      <c r="E169" s="1073"/>
      <c r="F169" s="1073"/>
      <c r="G169" s="1073"/>
      <c r="H169" s="1073"/>
      <c r="I169" s="1073"/>
      <c r="J169" s="1073"/>
      <c r="K169" s="1073"/>
      <c r="L169" s="1073"/>
    </row>
    <row r="188" spans="1:3">
      <c r="A188" s="1062"/>
      <c r="B188" s="970"/>
      <c r="C188" s="970"/>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xr:uid="{00000000-0004-0000-0800-000000000000}"/>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361950</xdr:colOff>
                <xdr:row>3</xdr:row>
                <xdr:rowOff>152400</xdr:rowOff>
              </from>
              <to>
                <xdr:col>2</xdr:col>
                <xdr:colOff>1009650</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U521"/>
  <sheetViews>
    <sheetView zoomScale="70" zoomScaleNormal="70" workbookViewId="0">
      <selection activeCell="D16" sqref="D16"/>
    </sheetView>
  </sheetViews>
  <sheetFormatPr defaultColWidth="8.77734375" defaultRowHeight="15"/>
  <cols>
    <col min="1" max="1" width="5.21875" style="455" customWidth="1"/>
    <col min="2" max="2" width="51.44140625" style="464" customWidth="1"/>
    <col min="3" max="3" width="22.109375" style="455" customWidth="1"/>
    <col min="4" max="4" width="22.21875" style="455" customWidth="1"/>
    <col min="5" max="5" width="20.21875" style="455" customWidth="1"/>
    <col min="6" max="6" width="16.77734375" style="455" customWidth="1"/>
    <col min="7" max="7" width="20.77734375" style="455" customWidth="1"/>
    <col min="8" max="8" width="114.77734375" style="455" bestFit="1" customWidth="1"/>
    <col min="9" max="16384" width="8.77734375" style="455"/>
  </cols>
  <sheetData>
    <row r="1" spans="1:21" ht="18">
      <c r="B1" s="1600" t="str">
        <f>+'Appendix III'!E8</f>
        <v>MidAmerican Central California Transco, LLC</v>
      </c>
      <c r="C1" s="1601"/>
      <c r="D1" s="1601"/>
      <c r="E1" s="1601"/>
      <c r="F1" s="1601"/>
      <c r="G1" s="1601"/>
      <c r="H1" s="1601"/>
      <c r="I1" s="454"/>
      <c r="J1" s="454"/>
    </row>
    <row r="2" spans="1:21" ht="18">
      <c r="B2" s="1600" t="s">
        <v>358</v>
      </c>
      <c r="C2" s="1600"/>
      <c r="D2" s="1600"/>
      <c r="E2" s="1600"/>
      <c r="F2" s="1600"/>
      <c r="G2" s="1600"/>
      <c r="H2" s="1600"/>
      <c r="I2" s="454"/>
      <c r="J2" s="454"/>
    </row>
    <row r="3" spans="1:21" ht="18">
      <c r="B3" s="1600" t="s">
        <v>199</v>
      </c>
      <c r="C3" s="1600"/>
      <c r="D3" s="1600"/>
      <c r="E3" s="1600"/>
      <c r="F3" s="1600"/>
      <c r="G3" s="1600"/>
      <c r="H3" s="1600"/>
      <c r="I3" s="454"/>
      <c r="J3" s="454"/>
    </row>
    <row r="4" spans="1:21" s="456" customFormat="1" ht="18">
      <c r="B4" s="499"/>
      <c r="C4" s="499"/>
      <c r="D4" s="499"/>
      <c r="E4" s="499"/>
      <c r="F4" s="499"/>
      <c r="G4" s="499"/>
      <c r="H4" s="499"/>
      <c r="I4" s="675"/>
      <c r="J4" s="675"/>
    </row>
    <row r="5" spans="1:21" s="456" customFormat="1" ht="18">
      <c r="B5" s="518"/>
      <c r="C5" s="519"/>
      <c r="D5" s="499"/>
      <c r="E5" s="499"/>
      <c r="F5" s="519"/>
      <c r="G5" s="499"/>
      <c r="H5" s="519"/>
    </row>
    <row r="6" spans="1:21" s="456" customFormat="1" ht="18">
      <c r="B6" s="518"/>
      <c r="C6" s="519"/>
      <c r="D6" s="500" t="s">
        <v>26</v>
      </c>
      <c r="E6" s="500" t="s">
        <v>331</v>
      </c>
      <c r="F6" s="500" t="s">
        <v>326</v>
      </c>
      <c r="G6" s="500" t="s">
        <v>21</v>
      </c>
      <c r="H6" s="519"/>
      <c r="J6" s="457"/>
      <c r="K6" s="457"/>
      <c r="L6" s="457"/>
      <c r="M6" s="457"/>
      <c r="N6" s="457"/>
      <c r="O6" s="457"/>
      <c r="P6" s="457"/>
      <c r="Q6" s="457"/>
      <c r="R6" s="457"/>
      <c r="S6" s="457"/>
      <c r="T6" s="457"/>
      <c r="U6" s="458"/>
    </row>
    <row r="7" spans="1:21" s="456" customFormat="1" ht="18">
      <c r="A7" s="456" t="s">
        <v>661</v>
      </c>
      <c r="B7" s="518" t="s">
        <v>268</v>
      </c>
      <c r="C7" s="519"/>
      <c r="D7" s="500" t="s">
        <v>332</v>
      </c>
      <c r="E7" s="500" t="s">
        <v>332</v>
      </c>
      <c r="F7" s="500" t="s">
        <v>332</v>
      </c>
      <c r="G7" s="500" t="s">
        <v>2</v>
      </c>
      <c r="H7" s="519"/>
      <c r="J7" s="457"/>
      <c r="K7" s="457"/>
      <c r="L7" s="457"/>
      <c r="M7" s="457"/>
      <c r="N7" s="457"/>
      <c r="O7" s="457"/>
      <c r="P7" s="457"/>
      <c r="Q7" s="457"/>
      <c r="R7" s="457"/>
      <c r="S7" s="457"/>
      <c r="T7" s="457"/>
      <c r="U7" s="458"/>
    </row>
    <row r="8" spans="1:21" s="456" customFormat="1" ht="18">
      <c r="B8" s="569"/>
      <c r="C8" s="519"/>
      <c r="D8" s="519"/>
      <c r="E8" s="519"/>
      <c r="F8" s="519"/>
      <c r="G8" s="519"/>
      <c r="H8" s="519"/>
    </row>
    <row r="9" spans="1:21" s="456" customFormat="1" ht="18">
      <c r="A9" s="456">
        <v>1</v>
      </c>
      <c r="B9" s="519" t="s">
        <v>333</v>
      </c>
      <c r="D9" s="520">
        <f>+E67</f>
        <v>0</v>
      </c>
      <c r="E9" s="520">
        <f>+F67</f>
        <v>0</v>
      </c>
      <c r="F9" s="520">
        <f>+G67</f>
        <v>0</v>
      </c>
      <c r="G9" s="520"/>
      <c r="H9" s="519" t="s">
        <v>334</v>
      </c>
    </row>
    <row r="10" spans="1:21" s="456" customFormat="1" ht="18">
      <c r="A10" s="456">
        <f>+A9+1</f>
        <v>2</v>
      </c>
      <c r="B10" s="519" t="s">
        <v>335</v>
      </c>
      <c r="D10" s="520">
        <f>+E96</f>
        <v>-2041001</v>
      </c>
      <c r="E10" s="520">
        <f>+F96</f>
        <v>0</v>
      </c>
      <c r="F10" s="520">
        <f>+G96</f>
        <v>0</v>
      </c>
      <c r="G10" s="520"/>
      <c r="H10" s="519" t="s">
        <v>336</v>
      </c>
    </row>
    <row r="11" spans="1:21" s="456" customFormat="1" ht="18">
      <c r="A11" s="456">
        <f t="shared" ref="A11:A74" si="0">+A10+1</f>
        <v>3</v>
      </c>
      <c r="B11" s="519" t="s">
        <v>337</v>
      </c>
      <c r="D11" s="520">
        <f>E39</f>
        <v>0</v>
      </c>
      <c r="E11" s="520">
        <f>F39</f>
        <v>0</v>
      </c>
      <c r="F11" s="520">
        <f>G39</f>
        <v>0</v>
      </c>
      <c r="G11" s="520"/>
      <c r="H11" s="519" t="s">
        <v>338</v>
      </c>
    </row>
    <row r="12" spans="1:21" s="456" customFormat="1" ht="18">
      <c r="A12" s="456">
        <f t="shared" si="0"/>
        <v>4</v>
      </c>
      <c r="B12" s="519" t="s">
        <v>339</v>
      </c>
      <c r="D12" s="520">
        <f>SUM(D9:D11)</f>
        <v>-2041001</v>
      </c>
      <c r="E12" s="520">
        <f>SUM(E9:E11)</f>
        <v>0</v>
      </c>
      <c r="F12" s="520">
        <f>SUM(F9:F11)</f>
        <v>0</v>
      </c>
      <c r="G12" s="520"/>
      <c r="H12" s="521"/>
    </row>
    <row r="13" spans="1:21" s="456" customFormat="1" ht="18">
      <c r="A13" s="456">
        <f t="shared" si="0"/>
        <v>5</v>
      </c>
      <c r="B13" s="519" t="s">
        <v>340</v>
      </c>
      <c r="D13" s="519"/>
      <c r="E13" s="519"/>
      <c r="F13" s="727">
        <f>+'Appendix III'!J196</f>
        <v>1</v>
      </c>
      <c r="G13" s="519"/>
      <c r="H13" s="519" t="s">
        <v>1036</v>
      </c>
    </row>
    <row r="14" spans="1:21" s="456" customFormat="1" ht="18">
      <c r="A14" s="456">
        <f t="shared" si="0"/>
        <v>6</v>
      </c>
      <c r="B14" s="519" t="s">
        <v>38</v>
      </c>
      <c r="D14" s="519"/>
      <c r="E14" s="523">
        <f>+'6b- ADIT'!E14</f>
        <v>1</v>
      </c>
      <c r="F14" s="519"/>
      <c r="G14" s="519"/>
      <c r="H14" s="519" t="s">
        <v>1037</v>
      </c>
    </row>
    <row r="15" spans="1:21" s="456" customFormat="1" ht="18">
      <c r="A15" s="456">
        <f t="shared" si="0"/>
        <v>7</v>
      </c>
      <c r="B15" s="519" t="s">
        <v>199</v>
      </c>
      <c r="D15" s="520">
        <f>+D12</f>
        <v>-2041001</v>
      </c>
      <c r="E15" s="520">
        <f>+E14*E12</f>
        <v>0</v>
      </c>
      <c r="F15" s="520">
        <f>+F13*F12</f>
        <v>0</v>
      </c>
      <c r="G15" s="520">
        <f>+D15+E15+F15</f>
        <v>-2041001</v>
      </c>
      <c r="H15" s="522"/>
    </row>
    <row r="16" spans="1:21" s="456" customFormat="1" ht="18">
      <c r="A16" s="456">
        <f t="shared" si="0"/>
        <v>8</v>
      </c>
      <c r="B16" s="519" t="str">
        <f>"End of year from Attachment 6b, line "&amp;'6b- ADIT'!A15&amp;""</f>
        <v>End of year from Attachment 6b, line 7</v>
      </c>
      <c r="D16" s="520">
        <f>+'6b- ADIT'!D15</f>
        <v>-986224</v>
      </c>
      <c r="E16" s="520">
        <f>+'6b- ADIT'!E15</f>
        <v>0</v>
      </c>
      <c r="F16" s="520">
        <f>+'6b- ADIT'!F15</f>
        <v>0</v>
      </c>
      <c r="G16" s="520">
        <f>+D16+E16+F16</f>
        <v>-986224</v>
      </c>
      <c r="H16" s="522"/>
    </row>
    <row r="17" spans="1:9" s="456" customFormat="1" ht="18">
      <c r="A17" s="456">
        <f t="shared" si="0"/>
        <v>9</v>
      </c>
      <c r="B17" s="519" t="s">
        <v>361</v>
      </c>
      <c r="D17" s="520">
        <f>+D15/2+D16/2</f>
        <v>-1513612.5</v>
      </c>
      <c r="E17" s="520">
        <f>+E15/2+E16/2</f>
        <v>0</v>
      </c>
      <c r="F17" s="520">
        <f>+F15/2+F16/2</f>
        <v>0</v>
      </c>
      <c r="G17" s="520">
        <f>+D17+E17+F17</f>
        <v>-1513612.5</v>
      </c>
      <c r="H17" s="522" t="str">
        <f>"Enter as negative Appendix III, line "&amp;'Appendix III'!A73&amp;"."</f>
        <v>Enter as negative Appendix III, line 17.</v>
      </c>
    </row>
    <row r="18" spans="1:9" s="456" customFormat="1" ht="18">
      <c r="A18" s="456">
        <f t="shared" si="0"/>
        <v>10</v>
      </c>
      <c r="B18" s="519"/>
      <c r="C18" s="519"/>
      <c r="D18" s="521"/>
      <c r="E18" s="519"/>
      <c r="F18" s="519"/>
      <c r="G18" s="519"/>
      <c r="H18" s="520"/>
    </row>
    <row r="19" spans="1:9" s="456" customFormat="1" ht="18">
      <c r="A19" s="456">
        <f t="shared" si="0"/>
        <v>11</v>
      </c>
      <c r="B19" s="519"/>
      <c r="C19" s="519"/>
      <c r="D19" s="519"/>
      <c r="E19" s="519"/>
      <c r="F19" s="519"/>
      <c r="G19" s="519"/>
      <c r="H19" s="523"/>
    </row>
    <row r="20" spans="1:9" s="456" customFormat="1" ht="18">
      <c r="A20" s="456">
        <f t="shared" si="0"/>
        <v>12</v>
      </c>
      <c r="B20" s="518" t="s">
        <v>342</v>
      </c>
      <c r="C20" s="519"/>
      <c r="D20" s="519"/>
      <c r="E20" s="519"/>
      <c r="F20" s="519"/>
      <c r="G20" s="519"/>
      <c r="H20" s="519"/>
    </row>
    <row r="21" spans="1:9" s="456" customFormat="1" ht="18">
      <c r="A21" s="456">
        <f t="shared" si="0"/>
        <v>13</v>
      </c>
      <c r="B21" s="518" t="s">
        <v>501</v>
      </c>
      <c r="C21" s="519"/>
      <c r="D21" s="519"/>
      <c r="E21" s="519"/>
      <c r="F21" s="519"/>
      <c r="G21" s="519"/>
      <c r="H21" s="519"/>
    </row>
    <row r="22" spans="1:9" s="456" customFormat="1" ht="18">
      <c r="A22" s="456">
        <f t="shared" si="0"/>
        <v>14</v>
      </c>
      <c r="B22" s="499" t="s">
        <v>77</v>
      </c>
      <c r="C22" s="499" t="s">
        <v>78</v>
      </c>
      <c r="D22" s="499" t="s">
        <v>79</v>
      </c>
      <c r="E22" s="499" t="s">
        <v>80</v>
      </c>
      <c r="F22" s="499" t="s">
        <v>81</v>
      </c>
      <c r="G22" s="499" t="s">
        <v>82</v>
      </c>
      <c r="H22" s="499" t="s">
        <v>84</v>
      </c>
    </row>
    <row r="23" spans="1:9" s="456" customFormat="1" ht="18">
      <c r="A23" s="456">
        <f t="shared" si="0"/>
        <v>15</v>
      </c>
      <c r="B23" s="518"/>
      <c r="C23" s="500" t="s">
        <v>21</v>
      </c>
      <c r="D23" s="500" t="s">
        <v>343</v>
      </c>
      <c r="E23" s="499"/>
      <c r="F23" s="499"/>
      <c r="G23" s="499"/>
      <c r="H23" s="519"/>
    </row>
    <row r="24" spans="1:9" s="456" customFormat="1" ht="18">
      <c r="A24" s="456">
        <f t="shared" si="0"/>
        <v>16</v>
      </c>
      <c r="B24" s="518" t="s">
        <v>337</v>
      </c>
      <c r="C24" s="500"/>
      <c r="D24" s="500" t="s">
        <v>344</v>
      </c>
      <c r="E24" s="500" t="s">
        <v>26</v>
      </c>
      <c r="F24" s="500" t="s">
        <v>331</v>
      </c>
      <c r="G24" s="500" t="s">
        <v>326</v>
      </c>
      <c r="H24" s="519"/>
    </row>
    <row r="25" spans="1:9" s="456" customFormat="1" ht="18">
      <c r="A25" s="456">
        <f t="shared" si="0"/>
        <v>17</v>
      </c>
      <c r="B25" s="518"/>
      <c r="C25" s="500"/>
      <c r="D25" s="500" t="s">
        <v>332</v>
      </c>
      <c r="E25" s="500" t="s">
        <v>332</v>
      </c>
      <c r="F25" s="500" t="s">
        <v>332</v>
      </c>
      <c r="G25" s="500" t="s">
        <v>332</v>
      </c>
      <c r="H25" s="499" t="s">
        <v>345</v>
      </c>
    </row>
    <row r="26" spans="1:9" ht="35.1" customHeight="1">
      <c r="A26" s="456">
        <f t="shared" si="0"/>
        <v>18</v>
      </c>
      <c r="B26" s="524"/>
      <c r="C26" s="472"/>
      <c r="D26" s="473"/>
      <c r="E26" s="473"/>
      <c r="F26" s="473"/>
      <c r="G26" s="473"/>
      <c r="H26" s="527"/>
      <c r="I26" s="459"/>
    </row>
    <row r="27" spans="1:9" ht="35.1" customHeight="1">
      <c r="A27" s="456">
        <f t="shared" si="0"/>
        <v>19</v>
      </c>
      <c r="B27" s="528"/>
      <c r="C27" s="472"/>
      <c r="D27" s="473"/>
      <c r="E27" s="473"/>
      <c r="F27" s="473"/>
      <c r="G27" s="473"/>
      <c r="H27" s="527"/>
      <c r="I27" s="459"/>
    </row>
    <row r="28" spans="1:9" ht="35.1" customHeight="1">
      <c r="A28" s="456">
        <f t="shared" si="0"/>
        <v>20</v>
      </c>
      <c r="B28" s="528"/>
      <c r="C28" s="472"/>
      <c r="D28" s="473"/>
      <c r="E28" s="473"/>
      <c r="F28" s="473"/>
      <c r="G28" s="473"/>
      <c r="H28" s="527"/>
      <c r="I28" s="459"/>
    </row>
    <row r="29" spans="1:9" ht="35.1" customHeight="1">
      <c r="A29" s="456">
        <f t="shared" si="0"/>
        <v>21</v>
      </c>
      <c r="B29" s="528"/>
      <c r="C29" s="472"/>
      <c r="D29" s="473"/>
      <c r="E29" s="473"/>
      <c r="F29" s="473"/>
      <c r="G29" s="473"/>
      <c r="H29" s="527"/>
      <c r="I29" s="459"/>
    </row>
    <row r="30" spans="1:9" ht="35.1" customHeight="1">
      <c r="A30" s="456">
        <f t="shared" si="0"/>
        <v>22</v>
      </c>
      <c r="B30" s="528"/>
      <c r="C30" s="525"/>
      <c r="D30" s="526"/>
      <c r="E30" s="526"/>
      <c r="F30" s="526"/>
      <c r="G30" s="526"/>
      <c r="H30" s="527"/>
      <c r="I30" s="459"/>
    </row>
    <row r="31" spans="1:9" ht="35.1" customHeight="1">
      <c r="A31" s="456">
        <f t="shared" si="0"/>
        <v>23</v>
      </c>
      <c r="B31" s="528"/>
      <c r="C31" s="525"/>
      <c r="D31" s="526"/>
      <c r="E31" s="526"/>
      <c r="F31" s="526"/>
      <c r="G31" s="526"/>
      <c r="H31" s="527"/>
      <c r="I31" s="459"/>
    </row>
    <row r="32" spans="1:9" ht="35.1" customHeight="1">
      <c r="A32" s="456">
        <f t="shared" si="0"/>
        <v>24</v>
      </c>
      <c r="B32" s="528"/>
      <c r="C32" s="525"/>
      <c r="D32" s="526"/>
      <c r="E32" s="526"/>
      <c r="F32" s="526"/>
      <c r="G32" s="526"/>
      <c r="H32" s="527"/>
      <c r="I32" s="459"/>
    </row>
    <row r="33" spans="1:9" ht="35.1" customHeight="1">
      <c r="A33" s="456">
        <f t="shared" si="0"/>
        <v>25</v>
      </c>
      <c r="B33" s="528"/>
      <c r="C33" s="525"/>
      <c r="D33" s="529"/>
      <c r="E33" s="526"/>
      <c r="F33" s="526"/>
      <c r="G33" s="526"/>
      <c r="H33" s="527"/>
      <c r="I33" s="459"/>
    </row>
    <row r="34" spans="1:9" ht="35.1" customHeight="1">
      <c r="A34" s="456">
        <f t="shared" si="0"/>
        <v>26</v>
      </c>
      <c r="B34" s="528"/>
      <c r="C34" s="525"/>
      <c r="D34" s="526"/>
      <c r="E34" s="526"/>
      <c r="F34" s="526"/>
      <c r="G34" s="526"/>
      <c r="H34" s="527"/>
      <c r="I34" s="459"/>
    </row>
    <row r="35" spans="1:9" ht="35.1" customHeight="1">
      <c r="A35" s="456">
        <f t="shared" si="0"/>
        <v>27</v>
      </c>
      <c r="B35" s="528"/>
      <c r="C35" s="525"/>
      <c r="D35" s="525"/>
      <c r="E35" s="525"/>
      <c r="F35" s="525"/>
      <c r="G35" s="525"/>
      <c r="H35" s="527"/>
      <c r="I35" s="459"/>
    </row>
    <row r="36" spans="1:9" ht="35.1" customHeight="1">
      <c r="A36" s="456">
        <f t="shared" si="0"/>
        <v>28</v>
      </c>
      <c r="B36" s="553" t="s">
        <v>346</v>
      </c>
      <c r="C36" s="554">
        <f>SUBTOTAL(9,C26:C35)</f>
        <v>0</v>
      </c>
      <c r="D36" s="542">
        <f>SUM(D26:D35)</f>
        <v>0</v>
      </c>
      <c r="E36" s="542">
        <f>SUM(E26:E35)</f>
        <v>0</v>
      </c>
      <c r="F36" s="542">
        <f>SUM(F26:F35)</f>
        <v>0</v>
      </c>
      <c r="G36" s="542">
        <f>SUM(G26:G35)</f>
        <v>0</v>
      </c>
      <c r="H36" s="530"/>
      <c r="I36" s="459"/>
    </row>
    <row r="37" spans="1:9" ht="35.1" customHeight="1">
      <c r="A37" s="456">
        <f t="shared" si="0"/>
        <v>29</v>
      </c>
      <c r="B37" s="555" t="s">
        <v>347</v>
      </c>
      <c r="C37" s="531"/>
      <c r="D37" s="531"/>
      <c r="E37" s="531"/>
      <c r="F37" s="532"/>
      <c r="G37" s="533"/>
      <c r="H37" s="527"/>
      <c r="I37" s="459"/>
    </row>
    <row r="38" spans="1:9" ht="35.1" customHeight="1">
      <c r="A38" s="456">
        <f t="shared" si="0"/>
        <v>30</v>
      </c>
      <c r="B38" s="556" t="s">
        <v>348</v>
      </c>
      <c r="C38" s="534"/>
      <c r="D38" s="534"/>
      <c r="E38" s="534"/>
      <c r="F38" s="534"/>
      <c r="G38" s="534"/>
      <c r="H38" s="535"/>
      <c r="I38" s="459"/>
    </row>
    <row r="39" spans="1:9" ht="35.1" customHeight="1" thickBot="1">
      <c r="A39" s="456">
        <f t="shared" si="0"/>
        <v>31</v>
      </c>
      <c r="B39" s="557" t="s">
        <v>21</v>
      </c>
      <c r="C39" s="558">
        <f>+C36-C37-C38</f>
        <v>0</v>
      </c>
      <c r="D39" s="558">
        <f>+D36-D37-D38</f>
        <v>0</v>
      </c>
      <c r="E39" s="558">
        <f>+E36-E37-E38</f>
        <v>0</v>
      </c>
      <c r="F39" s="558">
        <f>+F36-F37-F38</f>
        <v>0</v>
      </c>
      <c r="G39" s="558">
        <f>+G36-G37-G38</f>
        <v>0</v>
      </c>
      <c r="H39" s="559"/>
      <c r="I39" s="459"/>
    </row>
    <row r="40" spans="1:9" ht="35.1" customHeight="1" thickTop="1">
      <c r="A40" s="456">
        <f t="shared" si="0"/>
        <v>32</v>
      </c>
      <c r="B40" s="543" t="s">
        <v>349</v>
      </c>
      <c r="C40" s="544"/>
      <c r="D40" s="546"/>
      <c r="E40" s="545"/>
      <c r="F40" s="536"/>
      <c r="G40" s="560"/>
      <c r="H40" s="536"/>
    </row>
    <row r="41" spans="1:9" ht="35.1" customHeight="1">
      <c r="A41" s="456">
        <f t="shared" si="0"/>
        <v>33</v>
      </c>
      <c r="B41" s="1602" t="s">
        <v>350</v>
      </c>
      <c r="C41" s="1603"/>
      <c r="D41" s="1603"/>
      <c r="E41" s="1603"/>
      <c r="F41" s="1603"/>
      <c r="G41" s="1603"/>
      <c r="H41" s="536"/>
    </row>
    <row r="42" spans="1:9" ht="35.1" customHeight="1">
      <c r="A42" s="456">
        <f t="shared" si="0"/>
        <v>34</v>
      </c>
      <c r="B42" s="551" t="s">
        <v>351</v>
      </c>
      <c r="C42" s="536"/>
      <c r="D42" s="543"/>
      <c r="E42" s="543"/>
      <c r="F42" s="545"/>
      <c r="G42" s="545"/>
      <c r="H42" s="536"/>
    </row>
    <row r="43" spans="1:9" ht="35.1" customHeight="1">
      <c r="A43" s="456">
        <f t="shared" si="0"/>
        <v>35</v>
      </c>
      <c r="B43" s="551" t="s">
        <v>352</v>
      </c>
      <c r="C43" s="536"/>
      <c r="D43" s="543"/>
      <c r="E43" s="543"/>
      <c r="F43" s="545"/>
      <c r="G43" s="545"/>
      <c r="H43" s="536"/>
    </row>
    <row r="44" spans="1:9" ht="35.1" customHeight="1">
      <c r="A44" s="456">
        <f t="shared" si="0"/>
        <v>36</v>
      </c>
      <c r="B44" s="551" t="s">
        <v>353</v>
      </c>
      <c r="C44" s="536"/>
      <c r="D44" s="543"/>
      <c r="E44" s="543"/>
      <c r="F44" s="545"/>
      <c r="G44" s="545"/>
      <c r="H44" s="536"/>
    </row>
    <row r="45" spans="1:9" ht="35.1" customHeight="1">
      <c r="A45" s="456">
        <f t="shared" si="0"/>
        <v>37</v>
      </c>
      <c r="B45" s="1602" t="s">
        <v>579</v>
      </c>
      <c r="C45" s="1602"/>
      <c r="D45" s="1602"/>
      <c r="E45" s="1602"/>
      <c r="F45" s="1602"/>
      <c r="G45" s="1602"/>
      <c r="H45" s="537"/>
    </row>
    <row r="46" spans="1:9" ht="35.1" customHeight="1">
      <c r="A46" s="456">
        <f t="shared" si="0"/>
        <v>38</v>
      </c>
      <c r="B46" s="549"/>
      <c r="C46" s="549"/>
      <c r="D46" s="549"/>
      <c r="E46" s="549"/>
      <c r="F46" s="549"/>
      <c r="G46" s="549"/>
      <c r="H46" s="537"/>
    </row>
    <row r="47" spans="1:9" s="675" customFormat="1" ht="25.15" customHeight="1">
      <c r="A47" s="456">
        <f t="shared" si="0"/>
        <v>39</v>
      </c>
      <c r="B47" s="1600" t="str">
        <f>+B1</f>
        <v>MidAmerican Central California Transco, LLC</v>
      </c>
      <c r="C47" s="1601"/>
      <c r="D47" s="1601"/>
      <c r="E47" s="1601"/>
      <c r="F47" s="1601"/>
      <c r="G47" s="1601"/>
      <c r="H47" s="1601"/>
      <c r="I47" s="676"/>
    </row>
    <row r="48" spans="1:9" s="675" customFormat="1" ht="25.15" customHeight="1">
      <c r="A48" s="456">
        <f t="shared" si="0"/>
        <v>40</v>
      </c>
      <c r="B48" s="1600" t="s">
        <v>358</v>
      </c>
      <c r="C48" s="1600"/>
      <c r="D48" s="1600"/>
      <c r="E48" s="1600"/>
      <c r="F48" s="1600"/>
      <c r="G48" s="1600"/>
      <c r="H48" s="1600"/>
      <c r="I48" s="676"/>
    </row>
    <row r="49" spans="1:9" s="675" customFormat="1" ht="25.15" customHeight="1">
      <c r="A49" s="456">
        <f t="shared" si="0"/>
        <v>41</v>
      </c>
      <c r="B49" s="1600" t="s">
        <v>199</v>
      </c>
      <c r="C49" s="1600"/>
      <c r="D49" s="1600"/>
      <c r="E49" s="1600"/>
      <c r="F49" s="1600"/>
      <c r="G49" s="1600"/>
      <c r="H49" s="1600"/>
      <c r="I49" s="676"/>
    </row>
    <row r="50" spans="1:9" s="456" customFormat="1" ht="25.15" customHeight="1">
      <c r="A50" s="456">
        <f t="shared" si="0"/>
        <v>42</v>
      </c>
      <c r="B50" s="677"/>
      <c r="C50" s="677"/>
      <c r="D50" s="677"/>
      <c r="E50" s="677"/>
      <c r="F50" s="677"/>
      <c r="G50" s="677"/>
      <c r="H50" s="677"/>
      <c r="I50" s="461"/>
    </row>
    <row r="51" spans="1:9" s="456" customFormat="1" ht="25.15" customHeight="1">
      <c r="A51" s="456">
        <f t="shared" si="0"/>
        <v>43</v>
      </c>
      <c r="B51" s="499" t="s">
        <v>77</v>
      </c>
      <c r="C51" s="499" t="s">
        <v>78</v>
      </c>
      <c r="D51" s="499" t="s">
        <v>79</v>
      </c>
      <c r="E51" s="499" t="s">
        <v>80</v>
      </c>
      <c r="F51" s="499" t="s">
        <v>81</v>
      </c>
      <c r="G51" s="499" t="s">
        <v>82</v>
      </c>
      <c r="H51" s="499" t="s">
        <v>84</v>
      </c>
      <c r="I51" s="461"/>
    </row>
    <row r="52" spans="1:9" s="456" customFormat="1" ht="25.15" customHeight="1">
      <c r="A52" s="456">
        <f t="shared" si="0"/>
        <v>44</v>
      </c>
      <c r="B52" s="519"/>
      <c r="C52" s="500" t="s">
        <v>21</v>
      </c>
      <c r="D52" s="500" t="s">
        <v>343</v>
      </c>
      <c r="E52" s="499"/>
      <c r="F52" s="499"/>
      <c r="G52" s="499"/>
      <c r="H52" s="519"/>
      <c r="I52" s="461"/>
    </row>
    <row r="53" spans="1:9" s="456" customFormat="1" ht="25.15" customHeight="1">
      <c r="A53" s="456">
        <f t="shared" si="0"/>
        <v>45</v>
      </c>
      <c r="B53" s="543" t="s">
        <v>333</v>
      </c>
      <c r="C53" s="500"/>
      <c r="D53" s="500" t="s">
        <v>344</v>
      </c>
      <c r="E53" s="500" t="s">
        <v>26</v>
      </c>
      <c r="F53" s="500" t="s">
        <v>331</v>
      </c>
      <c r="G53" s="500" t="s">
        <v>326</v>
      </c>
      <c r="H53" s="519"/>
      <c r="I53" s="461"/>
    </row>
    <row r="54" spans="1:9" s="456" customFormat="1" ht="25.15" customHeight="1">
      <c r="A54" s="456">
        <f t="shared" si="0"/>
        <v>46</v>
      </c>
      <c r="B54" s="551"/>
      <c r="C54" s="500"/>
      <c r="D54" s="500" t="s">
        <v>332</v>
      </c>
      <c r="E54" s="500" t="s">
        <v>332</v>
      </c>
      <c r="F54" s="500" t="s">
        <v>332</v>
      </c>
      <c r="G54" s="500" t="s">
        <v>332</v>
      </c>
      <c r="H54" s="499" t="s">
        <v>345</v>
      </c>
      <c r="I54" s="461"/>
    </row>
    <row r="55" spans="1:9" ht="35.1" customHeight="1">
      <c r="A55" s="456">
        <f t="shared" si="0"/>
        <v>47</v>
      </c>
      <c r="I55" s="459"/>
    </row>
    <row r="56" spans="1:9" ht="35.1" customHeight="1">
      <c r="A56" s="456">
        <f t="shared" si="0"/>
        <v>48</v>
      </c>
      <c r="B56" s="528"/>
      <c r="C56" s="472"/>
      <c r="D56" s="473"/>
      <c r="E56" s="473"/>
      <c r="F56" s="473"/>
      <c r="G56" s="473"/>
      <c r="H56" s="527"/>
      <c r="I56" s="459"/>
    </row>
    <row r="57" spans="1:9" ht="35.1" customHeight="1">
      <c r="A57" s="456">
        <f t="shared" si="0"/>
        <v>49</v>
      </c>
      <c r="B57" s="528"/>
      <c r="C57" s="472"/>
      <c r="D57" s="473"/>
      <c r="E57" s="473"/>
      <c r="F57" s="473"/>
      <c r="G57" s="473"/>
      <c r="H57" s="527"/>
      <c r="I57" s="459"/>
    </row>
    <row r="58" spans="1:9" ht="35.1" customHeight="1">
      <c r="A58" s="456">
        <f t="shared" si="0"/>
        <v>50</v>
      </c>
      <c r="B58" s="528"/>
      <c r="C58" s="472"/>
      <c r="D58" s="473"/>
      <c r="E58" s="473"/>
      <c r="F58" s="473"/>
      <c r="G58" s="473"/>
      <c r="H58" s="527"/>
      <c r="I58" s="459"/>
    </row>
    <row r="59" spans="1:9" ht="35.1" customHeight="1">
      <c r="A59" s="456">
        <f t="shared" si="0"/>
        <v>51</v>
      </c>
      <c r="B59" s="528"/>
      <c r="C59" s="526"/>
      <c r="D59" s="526"/>
      <c r="E59" s="526"/>
      <c r="F59" s="526"/>
      <c r="G59" s="526"/>
      <c r="H59" s="527"/>
      <c r="I59" s="459"/>
    </row>
    <row r="60" spans="1:9" ht="35.1" customHeight="1">
      <c r="A60" s="456">
        <f t="shared" si="0"/>
        <v>52</v>
      </c>
      <c r="B60" s="528"/>
      <c r="C60" s="526"/>
      <c r="D60" s="526"/>
      <c r="E60" s="526"/>
      <c r="F60" s="526"/>
      <c r="G60" s="526"/>
      <c r="H60" s="527"/>
      <c r="I60" s="459"/>
    </row>
    <row r="61" spans="1:9" ht="35.1" customHeight="1">
      <c r="A61" s="456">
        <f t="shared" si="0"/>
        <v>53</v>
      </c>
      <c r="B61" s="539"/>
      <c r="C61" s="540"/>
      <c r="D61" s="540"/>
      <c r="E61" s="540"/>
      <c r="F61" s="540"/>
      <c r="G61" s="540"/>
      <c r="H61" s="527"/>
      <c r="I61" s="459"/>
    </row>
    <row r="62" spans="1:9" ht="35.1" customHeight="1">
      <c r="A62" s="456">
        <f t="shared" si="0"/>
        <v>54</v>
      </c>
      <c r="B62" s="541"/>
      <c r="C62" s="540"/>
      <c r="D62" s="540"/>
      <c r="E62" s="540"/>
      <c r="F62" s="540"/>
      <c r="G62" s="540"/>
      <c r="H62" s="527"/>
      <c r="I62" s="459"/>
    </row>
    <row r="63" spans="1:9" ht="35.1" customHeight="1">
      <c r="A63" s="456">
        <f t="shared" si="0"/>
        <v>55</v>
      </c>
      <c r="B63" s="541"/>
      <c r="C63" s="540"/>
      <c r="D63" s="540"/>
      <c r="E63" s="540"/>
      <c r="F63" s="540"/>
      <c r="G63" s="540"/>
      <c r="H63" s="527"/>
      <c r="I63" s="459"/>
    </row>
    <row r="64" spans="1:9" ht="35.1" customHeight="1">
      <c r="A64" s="456">
        <f t="shared" si="0"/>
        <v>56</v>
      </c>
      <c r="B64" s="561" t="s">
        <v>354</v>
      </c>
      <c r="C64" s="542">
        <f>SUBTOTAL(9,C56:C63)</f>
        <v>0</v>
      </c>
      <c r="D64" s="542">
        <f>SUM(D56:D63)</f>
        <v>0</v>
      </c>
      <c r="E64" s="542">
        <f>SUM(E56:E63)</f>
        <v>0</v>
      </c>
      <c r="F64" s="542">
        <f>SUM(F56:F63)</f>
        <v>0</v>
      </c>
      <c r="G64" s="542">
        <f>SUM(G56:G63)</f>
        <v>0</v>
      </c>
      <c r="H64" s="530"/>
      <c r="I64" s="459"/>
    </row>
    <row r="65" spans="1:9" ht="35.1" customHeight="1">
      <c r="A65" s="456">
        <f t="shared" si="0"/>
        <v>57</v>
      </c>
      <c r="B65" s="562" t="s">
        <v>347</v>
      </c>
      <c r="C65" s="531"/>
      <c r="D65" s="531"/>
      <c r="E65" s="531"/>
      <c r="F65" s="531"/>
      <c r="G65" s="531"/>
      <c r="H65" s="527"/>
      <c r="I65" s="459"/>
    </row>
    <row r="66" spans="1:9" ht="35.1" customHeight="1">
      <c r="A66" s="456">
        <f t="shared" si="0"/>
        <v>58</v>
      </c>
      <c r="B66" s="563" t="s">
        <v>348</v>
      </c>
      <c r="C66" s="534"/>
      <c r="D66" s="534"/>
      <c r="E66" s="534"/>
      <c r="F66" s="534"/>
      <c r="G66" s="534"/>
      <c r="H66" s="535"/>
      <c r="I66" s="459"/>
    </row>
    <row r="67" spans="1:9" ht="35.1" customHeight="1" thickBot="1">
      <c r="A67" s="456">
        <f t="shared" si="0"/>
        <v>59</v>
      </c>
      <c r="B67" s="557" t="s">
        <v>21</v>
      </c>
      <c r="C67" s="558">
        <f>+C64-C65-C66</f>
        <v>0</v>
      </c>
      <c r="D67" s="558">
        <f>+D64-D65-D66</f>
        <v>0</v>
      </c>
      <c r="E67" s="558">
        <f>+E64-E65-E66</f>
        <v>0</v>
      </c>
      <c r="F67" s="558">
        <f>+F64-F65-F66</f>
        <v>0</v>
      </c>
      <c r="G67" s="558">
        <f>+G64-G65-G66</f>
        <v>0</v>
      </c>
      <c r="H67" s="559"/>
      <c r="I67" s="459"/>
    </row>
    <row r="68" spans="1:9" ht="35.1" customHeight="1" thickTop="1">
      <c r="A68" s="456">
        <f t="shared" si="0"/>
        <v>60</v>
      </c>
      <c r="B68" s="538"/>
      <c r="C68" s="536"/>
      <c r="D68" s="543"/>
      <c r="E68" s="544"/>
      <c r="F68" s="545"/>
      <c r="G68" s="546"/>
      <c r="H68" s="537"/>
      <c r="I68" s="459"/>
    </row>
    <row r="69" spans="1:9" ht="35.1" customHeight="1">
      <c r="A69" s="456">
        <f t="shared" si="0"/>
        <v>61</v>
      </c>
      <c r="B69" s="543" t="s">
        <v>355</v>
      </c>
      <c r="C69" s="543"/>
      <c r="D69" s="545"/>
      <c r="E69" s="546"/>
      <c r="F69" s="536"/>
      <c r="G69" s="537"/>
      <c r="H69" s="536"/>
    </row>
    <row r="70" spans="1:9" ht="35.1" customHeight="1">
      <c r="A70" s="456">
        <f t="shared" si="0"/>
        <v>62</v>
      </c>
      <c r="B70" s="1602" t="s">
        <v>350</v>
      </c>
      <c r="C70" s="1603"/>
      <c r="D70" s="1603"/>
      <c r="E70" s="1603"/>
      <c r="F70" s="1603"/>
      <c r="G70" s="1603"/>
      <c r="H70" s="536"/>
    </row>
    <row r="71" spans="1:9" ht="35.1" customHeight="1">
      <c r="A71" s="456">
        <f t="shared" si="0"/>
        <v>63</v>
      </c>
      <c r="B71" s="551" t="s">
        <v>351</v>
      </c>
      <c r="C71" s="536"/>
      <c r="D71" s="543"/>
      <c r="E71" s="543"/>
      <c r="F71" s="545"/>
      <c r="G71" s="545"/>
      <c r="H71" s="536"/>
    </row>
    <row r="72" spans="1:9" ht="35.1" customHeight="1">
      <c r="A72" s="456">
        <f t="shared" si="0"/>
        <v>64</v>
      </c>
      <c r="B72" s="551" t="s">
        <v>352</v>
      </c>
      <c r="C72" s="536"/>
      <c r="D72" s="543"/>
      <c r="E72" s="543"/>
      <c r="F72" s="545"/>
      <c r="G72" s="545"/>
      <c r="H72" s="536"/>
    </row>
    <row r="73" spans="1:9" ht="35.1" customHeight="1">
      <c r="A73" s="456">
        <f t="shared" si="0"/>
        <v>65</v>
      </c>
      <c r="B73" s="551" t="s">
        <v>353</v>
      </c>
      <c r="C73" s="536"/>
      <c r="D73" s="543"/>
      <c r="E73" s="543"/>
      <c r="F73" s="545"/>
      <c r="G73" s="545"/>
      <c r="H73" s="536"/>
    </row>
    <row r="74" spans="1:9" ht="35.1" customHeight="1">
      <c r="A74" s="456">
        <f t="shared" si="0"/>
        <v>66</v>
      </c>
      <c r="B74" s="1602" t="s">
        <v>579</v>
      </c>
      <c r="C74" s="1602"/>
      <c r="D74" s="1602"/>
      <c r="E74" s="1602"/>
      <c r="F74" s="1602"/>
      <c r="G74" s="1602"/>
      <c r="H74" s="537"/>
    </row>
    <row r="75" spans="1:9" s="675" customFormat="1" ht="25.15" customHeight="1">
      <c r="A75" s="456">
        <f t="shared" ref="A75:A102" si="1">+A74+1</f>
        <v>67</v>
      </c>
      <c r="B75" s="1600" t="str">
        <f>+B47</f>
        <v>MidAmerican Central California Transco, LLC</v>
      </c>
      <c r="C75" s="1601"/>
      <c r="D75" s="1601"/>
      <c r="E75" s="1601"/>
      <c r="F75" s="1601"/>
      <c r="G75" s="1601"/>
      <c r="H75" s="1601"/>
      <c r="I75" s="676"/>
    </row>
    <row r="76" spans="1:9" s="675" customFormat="1" ht="25.15" customHeight="1">
      <c r="A76" s="456">
        <f t="shared" si="1"/>
        <v>68</v>
      </c>
      <c r="B76" s="1600" t="s">
        <v>358</v>
      </c>
      <c r="C76" s="1600"/>
      <c r="D76" s="1600"/>
      <c r="E76" s="1600"/>
      <c r="F76" s="1600"/>
      <c r="G76" s="1600"/>
      <c r="H76" s="1600"/>
      <c r="I76" s="676"/>
    </row>
    <row r="77" spans="1:9" s="675" customFormat="1" ht="25.15" customHeight="1">
      <c r="A77" s="456">
        <f t="shared" si="1"/>
        <v>69</v>
      </c>
      <c r="B77" s="1600" t="s">
        <v>199</v>
      </c>
      <c r="C77" s="1600"/>
      <c r="D77" s="1600"/>
      <c r="E77" s="1600"/>
      <c r="F77" s="1600"/>
      <c r="G77" s="1600"/>
      <c r="H77" s="1600"/>
      <c r="I77" s="676"/>
    </row>
    <row r="78" spans="1:9" s="456" customFormat="1" ht="25.15" customHeight="1">
      <c r="A78" s="456">
        <f t="shared" si="1"/>
        <v>70</v>
      </c>
      <c r="B78" s="551"/>
      <c r="C78" s="543"/>
      <c r="D78" s="543"/>
      <c r="E78" s="543"/>
      <c r="F78" s="543"/>
      <c r="G78" s="543"/>
      <c r="H78" s="537"/>
      <c r="I78" s="461"/>
    </row>
    <row r="79" spans="1:9" s="456" customFormat="1" ht="18">
      <c r="A79" s="456">
        <f t="shared" si="1"/>
        <v>71</v>
      </c>
      <c r="B79" s="499" t="s">
        <v>77</v>
      </c>
      <c r="C79" s="499" t="s">
        <v>78</v>
      </c>
      <c r="D79" s="499" t="s">
        <v>79</v>
      </c>
      <c r="E79" s="499" t="s">
        <v>80</v>
      </c>
      <c r="F79" s="499" t="s">
        <v>81</v>
      </c>
      <c r="G79" s="499" t="s">
        <v>82</v>
      </c>
      <c r="H79" s="499" t="s">
        <v>84</v>
      </c>
      <c r="I79" s="461"/>
    </row>
    <row r="80" spans="1:9" s="456" customFormat="1" ht="18">
      <c r="A80" s="456">
        <f t="shared" si="1"/>
        <v>72</v>
      </c>
      <c r="B80" s="499"/>
      <c r="C80" s="500" t="s">
        <v>21</v>
      </c>
      <c r="D80" s="500" t="s">
        <v>343</v>
      </c>
      <c r="E80" s="499"/>
      <c r="F80" s="499"/>
      <c r="G80" s="499"/>
      <c r="H80" s="499"/>
      <c r="I80" s="461"/>
    </row>
    <row r="81" spans="1:9" s="456" customFormat="1" ht="18">
      <c r="A81" s="456">
        <f t="shared" si="1"/>
        <v>73</v>
      </c>
      <c r="B81" s="543" t="s">
        <v>362</v>
      </c>
      <c r="C81" s="500"/>
      <c r="D81" s="500" t="s">
        <v>344</v>
      </c>
      <c r="E81" s="500" t="s">
        <v>26</v>
      </c>
      <c r="F81" s="500" t="s">
        <v>331</v>
      </c>
      <c r="G81" s="500" t="s">
        <v>326</v>
      </c>
      <c r="H81" s="499"/>
      <c r="I81" s="461"/>
    </row>
    <row r="82" spans="1:9" s="456" customFormat="1" ht="18">
      <c r="A82" s="456">
        <f t="shared" si="1"/>
        <v>74</v>
      </c>
      <c r="B82" s="543"/>
      <c r="C82" s="500"/>
      <c r="D82" s="500" t="s">
        <v>332</v>
      </c>
      <c r="E82" s="500" t="s">
        <v>332</v>
      </c>
      <c r="F82" s="500" t="s">
        <v>332</v>
      </c>
      <c r="G82" s="500" t="s">
        <v>332</v>
      </c>
      <c r="H82" s="519"/>
      <c r="I82" s="461"/>
    </row>
    <row r="83" spans="1:9" ht="35.1" customHeight="1">
      <c r="A83" s="456">
        <f t="shared" si="1"/>
        <v>75</v>
      </c>
      <c r="B83" s="1486" t="s">
        <v>1081</v>
      </c>
      <c r="C83" s="1522">
        <v>-414564</v>
      </c>
      <c r="D83" s="473"/>
      <c r="E83" s="1523">
        <v>-414564</v>
      </c>
      <c r="F83" s="473"/>
      <c r="G83" s="473"/>
      <c r="H83" s="527" t="s">
        <v>1082</v>
      </c>
      <c r="I83" s="459"/>
    </row>
    <row r="84" spans="1:9" ht="35.1" customHeight="1">
      <c r="A84" s="456">
        <f t="shared" si="1"/>
        <v>76</v>
      </c>
      <c r="B84" s="528" t="s">
        <v>1086</v>
      </c>
      <c r="C84" s="472">
        <v>-1209428</v>
      </c>
      <c r="D84" s="473"/>
      <c r="E84" s="473">
        <v>-1209428</v>
      </c>
      <c r="F84" s="473"/>
      <c r="G84" s="473"/>
      <c r="H84" s="527"/>
      <c r="I84" s="459"/>
    </row>
    <row r="85" spans="1:9" ht="35.1" customHeight="1">
      <c r="A85" s="456">
        <f t="shared" si="1"/>
        <v>77</v>
      </c>
      <c r="B85" s="528" t="s">
        <v>1099</v>
      </c>
      <c r="C85" s="472">
        <v>-417009</v>
      </c>
      <c r="D85" s="473"/>
      <c r="E85" s="473">
        <v>-417009</v>
      </c>
      <c r="F85" s="473"/>
      <c r="G85" s="473"/>
      <c r="H85" s="527"/>
      <c r="I85" s="459"/>
    </row>
    <row r="86" spans="1:9" ht="35.1" customHeight="1">
      <c r="A86" s="456">
        <f t="shared" si="1"/>
        <v>78</v>
      </c>
      <c r="B86" s="528"/>
      <c r="C86" s="472"/>
      <c r="D86" s="473"/>
      <c r="E86" s="473"/>
      <c r="F86" s="473"/>
      <c r="G86" s="473"/>
      <c r="H86" s="527"/>
      <c r="I86" s="459"/>
    </row>
    <row r="87" spans="1:9" ht="35.1" customHeight="1">
      <c r="A87" s="456">
        <f t="shared" si="1"/>
        <v>79</v>
      </c>
      <c r="B87" s="528"/>
      <c r="C87" s="526"/>
      <c r="D87" s="540"/>
      <c r="E87" s="526"/>
      <c r="F87" s="526"/>
      <c r="G87" s="526"/>
      <c r="H87" s="527"/>
      <c r="I87" s="459"/>
    </row>
    <row r="88" spans="1:9" ht="35.1" customHeight="1">
      <c r="A88" s="456">
        <f t="shared" si="1"/>
        <v>80</v>
      </c>
      <c r="B88" s="528"/>
      <c r="C88" s="526"/>
      <c r="D88" s="540"/>
      <c r="E88" s="526"/>
      <c r="F88" s="526"/>
      <c r="G88" s="526"/>
      <c r="H88" s="527"/>
      <c r="I88" s="459"/>
    </row>
    <row r="89" spans="1:9" ht="35.1" customHeight="1">
      <c r="A89" s="456">
        <f t="shared" si="1"/>
        <v>81</v>
      </c>
      <c r="B89" s="528"/>
      <c r="C89" s="526"/>
      <c r="D89" s="540"/>
      <c r="E89" s="526"/>
      <c r="F89" s="526"/>
      <c r="G89" s="526"/>
      <c r="H89" s="527"/>
      <c r="I89" s="459"/>
    </row>
    <row r="90" spans="1:9" ht="35.1" customHeight="1">
      <c r="A90" s="456">
        <f t="shared" si="1"/>
        <v>82</v>
      </c>
      <c r="B90" s="528"/>
      <c r="C90" s="526"/>
      <c r="D90" s="529"/>
      <c r="E90" s="526"/>
      <c r="F90" s="526"/>
      <c r="G90" s="526"/>
      <c r="H90" s="527"/>
      <c r="I90" s="459"/>
    </row>
    <row r="91" spans="1:9" ht="35.1" customHeight="1">
      <c r="A91" s="456">
        <f t="shared" si="1"/>
        <v>83</v>
      </c>
      <c r="B91" s="528"/>
      <c r="C91" s="526"/>
      <c r="D91" s="526"/>
      <c r="E91" s="526"/>
      <c r="F91" s="526"/>
      <c r="G91" s="526"/>
      <c r="H91" s="527"/>
      <c r="I91" s="459"/>
    </row>
    <row r="92" spans="1:9" ht="35.1" customHeight="1">
      <c r="A92" s="456">
        <f t="shared" si="1"/>
        <v>84</v>
      </c>
      <c r="B92" s="528"/>
      <c r="C92" s="526"/>
      <c r="D92" s="526"/>
      <c r="E92" s="526"/>
      <c r="F92" s="526"/>
      <c r="G92" s="526"/>
      <c r="H92" s="527"/>
      <c r="I92" s="459"/>
    </row>
    <row r="93" spans="1:9" ht="20.100000000000001" customHeight="1">
      <c r="A93" s="456">
        <f t="shared" si="1"/>
        <v>85</v>
      </c>
      <c r="B93" s="564" t="s">
        <v>356</v>
      </c>
      <c r="C93" s="554">
        <f>SUBTOTAL(9,C83:C92)</f>
        <v>-2041001</v>
      </c>
      <c r="D93" s="554">
        <f>SUM(D83:D92)</f>
        <v>0</v>
      </c>
      <c r="E93" s="554">
        <f>SUM(E83:E92)</f>
        <v>-2041001</v>
      </c>
      <c r="F93" s="554">
        <f>SUM(F83:F92)</f>
        <v>0</v>
      </c>
      <c r="G93" s="554">
        <f>SUM(G83:G92)</f>
        <v>0</v>
      </c>
      <c r="H93" s="527"/>
      <c r="I93" s="459"/>
    </row>
    <row r="94" spans="1:9" ht="20.100000000000001" customHeight="1">
      <c r="A94" s="456">
        <f t="shared" si="1"/>
        <v>86</v>
      </c>
      <c r="B94" s="565" t="s">
        <v>347</v>
      </c>
      <c r="C94" s="532"/>
      <c r="D94" s="532"/>
      <c r="E94" s="532"/>
      <c r="F94" s="532"/>
      <c r="G94" s="532"/>
      <c r="H94" s="527"/>
      <c r="I94" s="459"/>
    </row>
    <row r="95" spans="1:9" ht="20.100000000000001" customHeight="1">
      <c r="A95" s="456">
        <f t="shared" si="1"/>
        <v>87</v>
      </c>
      <c r="B95" s="566" t="s">
        <v>348</v>
      </c>
      <c r="C95" s="547"/>
      <c r="D95" s="547"/>
      <c r="E95" s="547"/>
      <c r="F95" s="547"/>
      <c r="G95" s="547"/>
      <c r="H95" s="535"/>
      <c r="I95" s="459"/>
    </row>
    <row r="96" spans="1:9" ht="20.100000000000001" customHeight="1" thickBot="1">
      <c r="A96" s="456">
        <f t="shared" si="1"/>
        <v>88</v>
      </c>
      <c r="B96" s="557" t="s">
        <v>21</v>
      </c>
      <c r="C96" s="567">
        <f>+C93-C94-C95</f>
        <v>-2041001</v>
      </c>
      <c r="D96" s="567">
        <f>+D93-D94-D95</f>
        <v>0</v>
      </c>
      <c r="E96" s="567">
        <f>+E93-E94-E95</f>
        <v>-2041001</v>
      </c>
      <c r="F96" s="567">
        <f>+F93-F94-F95</f>
        <v>0</v>
      </c>
      <c r="G96" s="567">
        <f>+G93-G94-G95</f>
        <v>0</v>
      </c>
      <c r="H96" s="559"/>
      <c r="I96" s="459"/>
    </row>
    <row r="97" spans="1:9" ht="35.1" customHeight="1" thickTop="1">
      <c r="A97" s="456">
        <f t="shared" si="1"/>
        <v>89</v>
      </c>
      <c r="B97" s="543" t="s">
        <v>357</v>
      </c>
      <c r="C97" s="543"/>
      <c r="D97" s="543"/>
      <c r="E97" s="545"/>
      <c r="F97" s="545"/>
      <c r="G97" s="536"/>
      <c r="H97" s="548"/>
      <c r="I97" s="459"/>
    </row>
    <row r="98" spans="1:9" ht="20.100000000000001" customHeight="1">
      <c r="A98" s="456">
        <f t="shared" si="1"/>
        <v>90</v>
      </c>
      <c r="B98" s="1602" t="s">
        <v>350</v>
      </c>
      <c r="C98" s="1603"/>
      <c r="D98" s="1603"/>
      <c r="E98" s="1603"/>
      <c r="F98" s="1603"/>
      <c r="G98" s="1603"/>
      <c r="H98" s="536"/>
    </row>
    <row r="99" spans="1:9" ht="20.100000000000001" customHeight="1">
      <c r="A99" s="456">
        <f t="shared" si="1"/>
        <v>91</v>
      </c>
      <c r="B99" s="551" t="s">
        <v>351</v>
      </c>
      <c r="C99" s="536"/>
      <c r="D99" s="543"/>
      <c r="E99" s="543"/>
      <c r="F99" s="545"/>
      <c r="G99" s="545"/>
      <c r="H99" s="536"/>
    </row>
    <row r="100" spans="1:9" ht="20.100000000000001" customHeight="1">
      <c r="A100" s="456">
        <f t="shared" si="1"/>
        <v>92</v>
      </c>
      <c r="B100" s="551" t="s">
        <v>352</v>
      </c>
      <c r="C100" s="536"/>
      <c r="D100" s="543"/>
      <c r="E100" s="543"/>
      <c r="F100" s="545"/>
      <c r="G100" s="545"/>
      <c r="H100" s="536"/>
    </row>
    <row r="101" spans="1:9" ht="20.100000000000001" customHeight="1">
      <c r="A101" s="456">
        <f t="shared" si="1"/>
        <v>93</v>
      </c>
      <c r="B101" s="551" t="s">
        <v>353</v>
      </c>
      <c r="C101" s="536"/>
      <c r="D101" s="543"/>
      <c r="E101" s="543"/>
      <c r="F101" s="545"/>
      <c r="G101" s="545"/>
      <c r="H101" s="536"/>
    </row>
    <row r="102" spans="1:9" ht="35.1" customHeight="1">
      <c r="A102" s="456">
        <f t="shared" si="1"/>
        <v>94</v>
      </c>
      <c r="B102" s="1602" t="s">
        <v>579</v>
      </c>
      <c r="C102" s="1602"/>
      <c r="D102" s="1602"/>
      <c r="E102" s="1602"/>
      <c r="F102" s="1602"/>
      <c r="G102" s="1602"/>
      <c r="H102" s="536"/>
    </row>
    <row r="103" spans="1:9" ht="18">
      <c r="B103" s="538"/>
      <c r="C103" s="536"/>
      <c r="D103" s="536"/>
      <c r="E103" s="536"/>
      <c r="F103" s="536"/>
      <c r="G103" s="536"/>
      <c r="H103" s="536"/>
      <c r="I103" s="459"/>
    </row>
    <row r="104" spans="1:9" ht="15.75" customHeight="1">
      <c r="B104" s="550"/>
      <c r="C104" s="550"/>
      <c r="D104" s="550"/>
      <c r="E104" s="550"/>
      <c r="F104" s="550"/>
      <c r="G104" s="550"/>
      <c r="H104" s="550"/>
      <c r="I104" s="459"/>
    </row>
    <row r="105" spans="1:9" ht="18">
      <c r="B105" s="1604"/>
      <c r="C105" s="1604"/>
      <c r="D105" s="1604"/>
      <c r="E105" s="1604"/>
      <c r="F105" s="1604"/>
      <c r="G105" s="1604"/>
      <c r="H105" s="1604"/>
      <c r="I105" s="460"/>
    </row>
    <row r="106" spans="1:9" ht="18">
      <c r="B106" s="543"/>
      <c r="C106" s="543"/>
      <c r="D106" s="543"/>
      <c r="E106" s="543"/>
      <c r="F106" s="543"/>
      <c r="G106" s="543"/>
      <c r="H106" s="543"/>
      <c r="I106" s="459"/>
    </row>
    <row r="107" spans="1:9" ht="18">
      <c r="B107" s="543"/>
      <c r="C107" s="543"/>
      <c r="D107" s="543"/>
      <c r="E107" s="543"/>
      <c r="F107" s="543"/>
      <c r="G107" s="543"/>
      <c r="H107" s="543"/>
      <c r="I107" s="459"/>
    </row>
    <row r="108" spans="1:9" ht="15.75" customHeight="1">
      <c r="B108" s="543"/>
      <c r="C108" s="543"/>
      <c r="D108" s="543"/>
      <c r="E108" s="543"/>
      <c r="F108" s="543"/>
      <c r="G108" s="543"/>
      <c r="H108" s="543"/>
      <c r="I108" s="459"/>
    </row>
    <row r="109" spans="1:9" ht="18">
      <c r="B109" s="543"/>
      <c r="C109" s="543"/>
      <c r="D109" s="568"/>
      <c r="E109" s="568"/>
      <c r="F109" s="568"/>
      <c r="G109" s="568"/>
      <c r="H109" s="568"/>
      <c r="I109" s="462"/>
    </row>
    <row r="110" spans="1:9" ht="18">
      <c r="B110" s="543"/>
      <c r="C110" s="543"/>
      <c r="D110" s="568"/>
      <c r="E110" s="568"/>
      <c r="F110" s="568"/>
      <c r="G110" s="568"/>
      <c r="H110" s="568"/>
      <c r="I110" s="462"/>
    </row>
    <row r="111" spans="1:9" ht="18">
      <c r="B111" s="551"/>
      <c r="C111" s="543"/>
      <c r="D111" s="545"/>
      <c r="E111" s="545"/>
      <c r="F111" s="543"/>
      <c r="G111" s="543"/>
      <c r="H111" s="543"/>
      <c r="I111" s="459"/>
    </row>
    <row r="112" spans="1:9" ht="18">
      <c r="B112" s="551"/>
      <c r="C112" s="543"/>
      <c r="D112" s="552"/>
      <c r="E112" s="552"/>
      <c r="F112" s="543"/>
      <c r="G112" s="543"/>
      <c r="H112" s="543"/>
      <c r="I112" s="459"/>
    </row>
    <row r="113" spans="2:9" ht="18">
      <c r="B113" s="551"/>
      <c r="C113" s="543"/>
      <c r="D113" s="552"/>
      <c r="E113" s="552"/>
      <c r="F113" s="543"/>
      <c r="G113" s="543"/>
      <c r="H113" s="543"/>
      <c r="I113" s="459"/>
    </row>
    <row r="114" spans="2:9" ht="18">
      <c r="B114" s="551"/>
      <c r="C114" s="543"/>
      <c r="D114" s="552"/>
      <c r="E114" s="552"/>
      <c r="F114" s="543"/>
      <c r="G114" s="543"/>
      <c r="H114" s="543"/>
      <c r="I114" s="459"/>
    </row>
    <row r="115" spans="2:9" ht="18">
      <c r="B115" s="551"/>
      <c r="C115" s="543"/>
      <c r="D115" s="552"/>
      <c r="E115" s="552"/>
      <c r="F115" s="543"/>
      <c r="G115" s="543"/>
      <c r="H115" s="543"/>
      <c r="I115" s="459"/>
    </row>
    <row r="116" spans="2:9" ht="18">
      <c r="B116" s="551"/>
      <c r="C116" s="543"/>
      <c r="D116" s="552"/>
      <c r="E116" s="552"/>
      <c r="F116" s="543"/>
      <c r="G116" s="543"/>
      <c r="H116" s="543"/>
      <c r="I116" s="459"/>
    </row>
    <row r="117" spans="2:9" ht="18">
      <c r="B117" s="551"/>
      <c r="C117" s="543"/>
      <c r="D117" s="552"/>
      <c r="E117" s="552"/>
      <c r="F117" s="543"/>
      <c r="G117" s="543"/>
      <c r="H117" s="543"/>
      <c r="I117" s="459"/>
    </row>
    <row r="118" spans="2:9" ht="18">
      <c r="B118" s="551"/>
      <c r="C118" s="543"/>
      <c r="D118" s="552"/>
      <c r="E118" s="552"/>
      <c r="F118" s="543"/>
      <c r="G118" s="543"/>
      <c r="H118" s="543"/>
      <c r="I118" s="459"/>
    </row>
    <row r="119" spans="2:9" ht="18">
      <c r="B119" s="551"/>
      <c r="C119" s="543"/>
      <c r="D119" s="552"/>
      <c r="E119" s="552"/>
      <c r="F119" s="543"/>
      <c r="G119" s="543"/>
      <c r="H119" s="543"/>
      <c r="I119" s="459"/>
    </row>
    <row r="120" spans="2:9" ht="18">
      <c r="B120" s="551"/>
      <c r="C120" s="543"/>
      <c r="D120" s="552"/>
      <c r="E120" s="552"/>
      <c r="F120" s="543"/>
      <c r="G120" s="543"/>
      <c r="H120" s="543"/>
      <c r="I120" s="459"/>
    </row>
    <row r="121" spans="2:9" ht="18">
      <c r="B121" s="551"/>
      <c r="C121" s="543"/>
      <c r="D121" s="552"/>
      <c r="E121" s="552"/>
      <c r="F121" s="543"/>
      <c r="G121" s="543"/>
      <c r="H121" s="543"/>
      <c r="I121" s="459"/>
    </row>
    <row r="122" spans="2:9" ht="18">
      <c r="B122" s="543"/>
      <c r="C122" s="543"/>
      <c r="D122" s="552"/>
      <c r="E122" s="552"/>
      <c r="F122" s="543"/>
      <c r="G122" s="543"/>
      <c r="H122" s="543"/>
      <c r="I122" s="459"/>
    </row>
    <row r="123" spans="2:9" ht="18">
      <c r="B123" s="551"/>
      <c r="C123" s="543"/>
      <c r="D123" s="552"/>
      <c r="E123" s="552"/>
      <c r="F123" s="543"/>
      <c r="G123" s="543"/>
      <c r="H123" s="543"/>
      <c r="I123" s="459"/>
    </row>
    <row r="124" spans="2:9" ht="18">
      <c r="B124" s="543"/>
      <c r="C124" s="543"/>
      <c r="D124" s="552"/>
      <c r="E124" s="552"/>
      <c r="F124" s="543"/>
      <c r="G124" s="543"/>
      <c r="H124" s="543"/>
      <c r="I124" s="459"/>
    </row>
    <row r="125" spans="2:9" ht="18">
      <c r="B125" s="551"/>
      <c r="C125" s="543"/>
      <c r="D125" s="543"/>
      <c r="E125" s="543"/>
      <c r="F125" s="543"/>
      <c r="G125" s="543"/>
      <c r="H125" s="543"/>
      <c r="I125" s="459"/>
    </row>
    <row r="126" spans="2:9" ht="18">
      <c r="B126" s="551"/>
      <c r="C126" s="543"/>
      <c r="D126" s="543"/>
      <c r="E126" s="543"/>
      <c r="F126" s="543"/>
      <c r="G126" s="543"/>
      <c r="H126" s="543"/>
    </row>
    <row r="127" spans="2:9" ht="18">
      <c r="B127" s="551"/>
      <c r="C127" s="543"/>
      <c r="D127" s="543"/>
      <c r="E127" s="543"/>
      <c r="F127" s="543"/>
      <c r="G127" s="543"/>
      <c r="H127" s="543"/>
    </row>
    <row r="128" spans="2:9" ht="18">
      <c r="B128" s="551"/>
      <c r="C128" s="543"/>
      <c r="D128" s="543"/>
      <c r="E128" s="543"/>
      <c r="F128" s="543"/>
      <c r="G128" s="543"/>
      <c r="H128" s="543"/>
    </row>
    <row r="129" spans="2:8" ht="18">
      <c r="B129" s="551"/>
      <c r="C129" s="543"/>
      <c r="D129" s="543"/>
      <c r="E129" s="543"/>
      <c r="F129" s="543"/>
      <c r="G129" s="543"/>
      <c r="H129" s="543"/>
    </row>
    <row r="130" spans="2:8" ht="18">
      <c r="B130" s="551"/>
      <c r="C130" s="543"/>
      <c r="D130" s="543"/>
      <c r="E130" s="543"/>
      <c r="F130" s="543"/>
      <c r="G130" s="543"/>
      <c r="H130" s="543"/>
    </row>
    <row r="131" spans="2:8" ht="18">
      <c r="B131" s="551"/>
      <c r="C131" s="543"/>
      <c r="D131" s="543"/>
      <c r="E131" s="543"/>
      <c r="F131" s="543"/>
      <c r="G131" s="543"/>
      <c r="H131" s="543"/>
    </row>
    <row r="132" spans="2:8" ht="18">
      <c r="B132" s="551"/>
      <c r="C132" s="543"/>
      <c r="D132" s="543"/>
      <c r="E132" s="543"/>
      <c r="F132" s="543"/>
      <c r="G132" s="543"/>
      <c r="H132" s="543"/>
    </row>
    <row r="133" spans="2:8" ht="18">
      <c r="B133" s="551"/>
      <c r="C133" s="543"/>
      <c r="D133" s="543"/>
      <c r="E133" s="543"/>
      <c r="F133" s="543"/>
      <c r="G133" s="543"/>
      <c r="H133" s="543"/>
    </row>
    <row r="134" spans="2:8" ht="18">
      <c r="B134" s="551"/>
      <c r="C134" s="543"/>
      <c r="D134" s="543"/>
      <c r="E134" s="543"/>
      <c r="F134" s="543"/>
      <c r="G134" s="543"/>
      <c r="H134" s="543"/>
    </row>
    <row r="135" spans="2:8" ht="18">
      <c r="B135" s="551"/>
      <c r="C135" s="543"/>
      <c r="D135" s="543"/>
      <c r="E135" s="543"/>
      <c r="F135" s="543"/>
      <c r="G135" s="543"/>
      <c r="H135" s="543"/>
    </row>
    <row r="136" spans="2:8" ht="18">
      <c r="B136" s="551"/>
      <c r="C136" s="543"/>
      <c r="D136" s="543"/>
      <c r="E136" s="543"/>
      <c r="F136" s="543"/>
      <c r="G136" s="543"/>
      <c r="H136" s="543"/>
    </row>
    <row r="137" spans="2:8" ht="18">
      <c r="B137" s="551"/>
      <c r="C137" s="543"/>
      <c r="D137" s="543"/>
      <c r="E137" s="543"/>
      <c r="F137" s="543"/>
      <c r="G137" s="543"/>
      <c r="H137" s="543"/>
    </row>
    <row r="138" spans="2:8" ht="18">
      <c r="B138" s="551"/>
      <c r="C138" s="543"/>
      <c r="D138" s="543"/>
      <c r="E138" s="543"/>
      <c r="F138" s="543"/>
      <c r="G138" s="543"/>
      <c r="H138" s="543"/>
    </row>
    <row r="139" spans="2:8" ht="18">
      <c r="B139" s="551"/>
      <c r="C139" s="543"/>
      <c r="D139" s="543"/>
      <c r="E139" s="543"/>
      <c r="F139" s="543"/>
      <c r="G139" s="543"/>
      <c r="H139" s="543"/>
    </row>
    <row r="140" spans="2:8" ht="18">
      <c r="B140" s="551"/>
      <c r="C140" s="543"/>
      <c r="D140" s="543"/>
      <c r="E140" s="543"/>
      <c r="F140" s="543"/>
      <c r="G140" s="543"/>
      <c r="H140" s="543"/>
    </row>
    <row r="141" spans="2:8" ht="18">
      <c r="B141" s="551"/>
      <c r="C141" s="543"/>
      <c r="D141" s="543"/>
      <c r="E141" s="543"/>
      <c r="F141" s="543"/>
      <c r="G141" s="543"/>
      <c r="H141" s="543"/>
    </row>
    <row r="142" spans="2:8" ht="18">
      <c r="B142" s="551"/>
      <c r="C142" s="543"/>
      <c r="D142" s="543"/>
      <c r="E142" s="543"/>
      <c r="F142" s="543"/>
      <c r="G142" s="543"/>
      <c r="H142" s="543"/>
    </row>
    <row r="143" spans="2:8" ht="18">
      <c r="B143" s="551"/>
      <c r="C143" s="543"/>
      <c r="D143" s="543"/>
      <c r="E143" s="543"/>
      <c r="F143" s="543"/>
      <c r="G143" s="543"/>
      <c r="H143" s="543"/>
    </row>
    <row r="144" spans="2:8" ht="18">
      <c r="B144" s="551"/>
      <c r="C144" s="543"/>
      <c r="D144" s="543"/>
      <c r="E144" s="543"/>
      <c r="F144" s="543"/>
      <c r="G144" s="543"/>
      <c r="H144" s="543"/>
    </row>
    <row r="145" spans="2:8" ht="18">
      <c r="B145" s="551"/>
      <c r="C145" s="543"/>
      <c r="D145" s="543"/>
      <c r="E145" s="543"/>
      <c r="F145" s="543"/>
      <c r="G145" s="543"/>
      <c r="H145" s="543"/>
    </row>
    <row r="146" spans="2:8" ht="18">
      <c r="B146" s="551"/>
      <c r="C146" s="543"/>
      <c r="D146" s="543"/>
      <c r="E146" s="543"/>
      <c r="F146" s="543"/>
      <c r="G146" s="543"/>
      <c r="H146" s="543"/>
    </row>
    <row r="147" spans="2:8" ht="18">
      <c r="B147" s="551"/>
      <c r="C147" s="543"/>
      <c r="D147" s="543"/>
      <c r="E147" s="543"/>
      <c r="F147" s="543"/>
      <c r="G147" s="543"/>
      <c r="H147" s="543"/>
    </row>
    <row r="148" spans="2:8" ht="18">
      <c r="B148" s="551"/>
      <c r="C148" s="543"/>
      <c r="D148" s="543"/>
      <c r="E148" s="543"/>
      <c r="F148" s="543"/>
      <c r="G148" s="543"/>
      <c r="H148" s="543"/>
    </row>
    <row r="149" spans="2:8" ht="18">
      <c r="B149" s="551"/>
      <c r="C149" s="543"/>
      <c r="D149" s="543"/>
      <c r="E149" s="543"/>
      <c r="F149" s="543"/>
      <c r="G149" s="543"/>
      <c r="H149" s="543"/>
    </row>
    <row r="150" spans="2:8" ht="18">
      <c r="B150" s="551"/>
      <c r="C150" s="543"/>
      <c r="D150" s="543"/>
      <c r="E150" s="543"/>
      <c r="F150" s="543"/>
      <c r="G150" s="543"/>
      <c r="H150" s="543"/>
    </row>
    <row r="151" spans="2:8" ht="18">
      <c r="B151" s="551"/>
      <c r="C151" s="543"/>
      <c r="D151" s="543"/>
      <c r="E151" s="543"/>
      <c r="F151" s="543"/>
      <c r="G151" s="543"/>
      <c r="H151" s="543"/>
    </row>
    <row r="152" spans="2:8" ht="18">
      <c r="B152" s="551"/>
      <c r="C152" s="543"/>
      <c r="D152" s="543"/>
      <c r="E152" s="543"/>
      <c r="F152" s="543"/>
      <c r="G152" s="543"/>
      <c r="H152" s="543"/>
    </row>
    <row r="153" spans="2:8" ht="18">
      <c r="B153" s="551"/>
      <c r="C153" s="543"/>
      <c r="D153" s="543"/>
      <c r="E153" s="543"/>
      <c r="F153" s="543"/>
      <c r="G153" s="543"/>
      <c r="H153" s="543"/>
    </row>
    <row r="154" spans="2:8" ht="18">
      <c r="B154" s="551"/>
      <c r="C154" s="543"/>
      <c r="D154" s="543"/>
      <c r="E154" s="543"/>
      <c r="F154" s="543"/>
      <c r="G154" s="543"/>
      <c r="H154" s="543"/>
    </row>
    <row r="155" spans="2:8" ht="18">
      <c r="B155" s="551"/>
      <c r="C155" s="543"/>
      <c r="D155" s="543"/>
      <c r="E155" s="543"/>
      <c r="F155" s="543"/>
      <c r="G155" s="543"/>
      <c r="H155" s="543"/>
    </row>
    <row r="156" spans="2:8" ht="18">
      <c r="B156" s="551"/>
      <c r="C156" s="543"/>
      <c r="D156" s="543"/>
      <c r="E156" s="543"/>
      <c r="F156" s="543"/>
      <c r="G156" s="543"/>
      <c r="H156" s="543"/>
    </row>
    <row r="157" spans="2:8" ht="18">
      <c r="B157" s="551"/>
      <c r="C157" s="543"/>
      <c r="D157" s="543"/>
      <c r="E157" s="543"/>
      <c r="F157" s="543"/>
      <c r="G157" s="543"/>
      <c r="H157" s="543"/>
    </row>
    <row r="158" spans="2:8" ht="18">
      <c r="B158" s="551"/>
      <c r="C158" s="543"/>
      <c r="D158" s="543"/>
      <c r="E158" s="543"/>
      <c r="F158" s="543"/>
      <c r="G158" s="543"/>
      <c r="H158" s="543"/>
    </row>
    <row r="159" spans="2:8" ht="18">
      <c r="B159" s="551"/>
      <c r="C159" s="543"/>
      <c r="D159" s="543"/>
      <c r="E159" s="543"/>
      <c r="F159" s="543"/>
      <c r="G159" s="543"/>
      <c r="H159" s="543"/>
    </row>
    <row r="160" spans="2:8" ht="18">
      <c r="B160" s="551"/>
      <c r="C160" s="543"/>
      <c r="D160" s="543"/>
      <c r="E160" s="543"/>
      <c r="F160" s="543"/>
      <c r="G160" s="543"/>
      <c r="H160" s="543"/>
    </row>
    <row r="161" spans="2:8" ht="18">
      <c r="B161" s="551"/>
      <c r="C161" s="543"/>
      <c r="D161" s="543"/>
      <c r="E161" s="543"/>
      <c r="F161" s="543"/>
      <c r="G161" s="543"/>
      <c r="H161" s="543"/>
    </row>
    <row r="162" spans="2:8" ht="18">
      <c r="B162" s="551"/>
      <c r="C162" s="543"/>
      <c r="D162" s="543"/>
      <c r="E162" s="543"/>
      <c r="F162" s="543"/>
      <c r="G162" s="543"/>
      <c r="H162" s="543"/>
    </row>
    <row r="163" spans="2:8" ht="18">
      <c r="B163" s="551"/>
      <c r="C163" s="543"/>
      <c r="D163" s="543"/>
      <c r="E163" s="543"/>
      <c r="F163" s="543"/>
      <c r="G163" s="543"/>
      <c r="H163" s="543"/>
    </row>
    <row r="164" spans="2:8" ht="18">
      <c r="B164" s="551"/>
      <c r="C164" s="543"/>
      <c r="D164" s="543"/>
      <c r="E164" s="543"/>
      <c r="F164" s="543"/>
      <c r="G164" s="543"/>
      <c r="H164" s="543"/>
    </row>
    <row r="165" spans="2:8" ht="18">
      <c r="B165" s="551"/>
      <c r="C165" s="543"/>
      <c r="D165" s="543"/>
      <c r="E165" s="543"/>
      <c r="F165" s="543"/>
      <c r="G165" s="543"/>
      <c r="H165" s="543"/>
    </row>
    <row r="166" spans="2:8" ht="18">
      <c r="B166" s="551"/>
      <c r="C166" s="543"/>
      <c r="D166" s="543"/>
      <c r="E166" s="543"/>
      <c r="F166" s="543"/>
      <c r="G166" s="543"/>
      <c r="H166" s="543"/>
    </row>
    <row r="167" spans="2:8" ht="18">
      <c r="B167" s="551"/>
      <c r="C167" s="543"/>
      <c r="D167" s="543"/>
      <c r="E167" s="543"/>
      <c r="F167" s="543"/>
      <c r="G167" s="543"/>
      <c r="H167" s="543"/>
    </row>
    <row r="168" spans="2:8" ht="18">
      <c r="B168" s="551"/>
      <c r="C168" s="543"/>
      <c r="D168" s="543"/>
      <c r="E168" s="543"/>
      <c r="F168" s="543"/>
      <c r="G168" s="543"/>
      <c r="H168" s="543"/>
    </row>
    <row r="169" spans="2:8" ht="18">
      <c r="B169" s="551"/>
      <c r="C169" s="543"/>
      <c r="D169" s="543"/>
      <c r="E169" s="543"/>
      <c r="F169" s="543"/>
      <c r="G169" s="543"/>
      <c r="H169" s="543"/>
    </row>
    <row r="170" spans="2:8" ht="18">
      <c r="B170" s="551"/>
      <c r="C170" s="543"/>
      <c r="D170" s="543"/>
      <c r="E170" s="543"/>
      <c r="F170" s="543"/>
      <c r="G170" s="543"/>
      <c r="H170" s="543"/>
    </row>
    <row r="171" spans="2:8" ht="18">
      <c r="B171" s="551"/>
      <c r="C171" s="543"/>
      <c r="D171" s="543"/>
      <c r="E171" s="543"/>
      <c r="F171" s="543"/>
      <c r="G171" s="543"/>
      <c r="H171" s="543"/>
    </row>
    <row r="172" spans="2:8" ht="18">
      <c r="B172" s="551"/>
      <c r="C172" s="543"/>
      <c r="D172" s="543"/>
      <c r="E172" s="543"/>
      <c r="F172" s="543"/>
      <c r="G172" s="543"/>
      <c r="H172" s="543"/>
    </row>
    <row r="173" spans="2:8" ht="18">
      <c r="B173" s="551"/>
      <c r="C173" s="543"/>
      <c r="D173" s="543"/>
      <c r="E173" s="543"/>
      <c r="F173" s="543"/>
      <c r="G173" s="543"/>
      <c r="H173" s="543"/>
    </row>
    <row r="174" spans="2:8" ht="18">
      <c r="B174" s="551"/>
      <c r="C174" s="543"/>
      <c r="D174" s="543"/>
      <c r="E174" s="543"/>
      <c r="F174" s="543"/>
      <c r="G174" s="543"/>
      <c r="H174" s="543"/>
    </row>
    <row r="175" spans="2:8" ht="18">
      <c r="B175" s="551"/>
      <c r="C175" s="543"/>
      <c r="D175" s="543"/>
      <c r="E175" s="543"/>
      <c r="F175" s="543"/>
      <c r="G175" s="543"/>
      <c r="H175" s="543"/>
    </row>
    <row r="176" spans="2:8" ht="18">
      <c r="B176" s="551"/>
      <c r="C176" s="543"/>
      <c r="D176" s="543"/>
      <c r="E176" s="543"/>
      <c r="F176" s="543"/>
      <c r="G176" s="543"/>
      <c r="H176" s="543"/>
    </row>
    <row r="177" spans="2:8" ht="18">
      <c r="B177" s="551"/>
      <c r="C177" s="543"/>
      <c r="D177" s="543"/>
      <c r="E177" s="543"/>
      <c r="F177" s="543"/>
      <c r="G177" s="543"/>
      <c r="H177" s="543"/>
    </row>
    <row r="178" spans="2:8" ht="18">
      <c r="B178" s="551"/>
      <c r="C178" s="543"/>
      <c r="D178" s="543"/>
      <c r="E178" s="543"/>
      <c r="F178" s="543"/>
      <c r="G178" s="543"/>
      <c r="H178" s="543"/>
    </row>
    <row r="179" spans="2:8" ht="18">
      <c r="B179" s="551"/>
      <c r="C179" s="543"/>
      <c r="D179" s="543"/>
      <c r="E179" s="543"/>
      <c r="F179" s="543"/>
      <c r="G179" s="543"/>
      <c r="H179" s="543"/>
    </row>
    <row r="180" spans="2:8" ht="18">
      <c r="B180" s="551"/>
      <c r="C180" s="543"/>
      <c r="D180" s="543"/>
      <c r="E180" s="543"/>
      <c r="F180" s="543"/>
      <c r="G180" s="543"/>
      <c r="H180" s="543"/>
    </row>
    <row r="181" spans="2:8" ht="18">
      <c r="B181" s="551"/>
      <c r="C181" s="543"/>
      <c r="D181" s="543"/>
      <c r="E181" s="543"/>
      <c r="F181" s="543"/>
      <c r="G181" s="543"/>
      <c r="H181" s="543"/>
    </row>
    <row r="182" spans="2:8" ht="18">
      <c r="B182" s="551"/>
      <c r="C182" s="543"/>
      <c r="D182" s="543"/>
      <c r="E182" s="543"/>
      <c r="F182" s="543"/>
      <c r="G182" s="543"/>
      <c r="H182" s="543"/>
    </row>
    <row r="183" spans="2:8" ht="18">
      <c r="B183" s="551"/>
      <c r="C183" s="543"/>
      <c r="D183" s="543"/>
      <c r="E183" s="543"/>
      <c r="F183" s="543"/>
      <c r="G183" s="543"/>
      <c r="H183" s="543"/>
    </row>
    <row r="184" spans="2:8" ht="18">
      <c r="B184" s="551"/>
      <c r="C184" s="543"/>
      <c r="D184" s="543"/>
      <c r="E184" s="543"/>
      <c r="F184" s="543"/>
      <c r="G184" s="543"/>
      <c r="H184" s="543"/>
    </row>
    <row r="185" spans="2:8" ht="18">
      <c r="B185" s="551"/>
      <c r="C185" s="543"/>
      <c r="D185" s="543"/>
      <c r="E185" s="543"/>
      <c r="F185" s="543"/>
      <c r="G185" s="543"/>
      <c r="H185" s="543"/>
    </row>
    <row r="186" spans="2:8" ht="18">
      <c r="B186" s="551"/>
      <c r="C186" s="543"/>
      <c r="D186" s="543"/>
      <c r="E186" s="543"/>
      <c r="F186" s="543"/>
      <c r="G186" s="543"/>
      <c r="H186" s="543"/>
    </row>
    <row r="187" spans="2:8" ht="18">
      <c r="B187" s="551"/>
      <c r="C187" s="543"/>
      <c r="D187" s="543"/>
      <c r="E187" s="543"/>
      <c r="F187" s="543"/>
      <c r="G187" s="543"/>
      <c r="H187" s="543"/>
    </row>
    <row r="188" spans="2:8" ht="18">
      <c r="B188" s="551"/>
      <c r="C188" s="543"/>
      <c r="D188" s="543"/>
      <c r="E188" s="543"/>
      <c r="F188" s="543"/>
      <c r="G188" s="543"/>
      <c r="H188" s="543"/>
    </row>
    <row r="189" spans="2:8" ht="18">
      <c r="B189" s="551"/>
      <c r="C189" s="543"/>
      <c r="D189" s="543"/>
      <c r="E189" s="543"/>
      <c r="F189" s="543"/>
      <c r="G189" s="543"/>
      <c r="H189" s="543"/>
    </row>
    <row r="190" spans="2:8" ht="18">
      <c r="B190" s="551"/>
      <c r="C190" s="543"/>
      <c r="D190" s="543"/>
      <c r="E190" s="543"/>
      <c r="F190" s="543"/>
      <c r="G190" s="543"/>
      <c r="H190" s="543"/>
    </row>
    <row r="191" spans="2:8" ht="18">
      <c r="B191" s="551"/>
      <c r="C191" s="543"/>
      <c r="D191" s="543"/>
      <c r="E191" s="543"/>
      <c r="F191" s="543"/>
      <c r="G191" s="543"/>
      <c r="H191" s="543"/>
    </row>
    <row r="192" spans="2:8" ht="18">
      <c r="B192" s="551"/>
      <c r="C192" s="543"/>
      <c r="D192" s="543"/>
      <c r="E192" s="543"/>
      <c r="F192" s="543"/>
      <c r="G192" s="543"/>
      <c r="H192" s="543"/>
    </row>
    <row r="193" spans="2:8" ht="18">
      <c r="B193" s="551"/>
      <c r="C193" s="543"/>
      <c r="D193" s="543"/>
      <c r="E193" s="543"/>
      <c r="F193" s="543"/>
      <c r="G193" s="543"/>
      <c r="H193" s="543"/>
    </row>
    <row r="194" spans="2:8" ht="18">
      <c r="B194" s="551"/>
      <c r="C194" s="543"/>
      <c r="D194" s="543"/>
      <c r="E194" s="543"/>
      <c r="F194" s="543"/>
      <c r="G194" s="543"/>
      <c r="H194" s="543"/>
    </row>
    <row r="195" spans="2:8" ht="18">
      <c r="B195" s="551"/>
      <c r="C195" s="543"/>
      <c r="D195" s="543"/>
      <c r="E195" s="543"/>
      <c r="F195" s="543"/>
      <c r="G195" s="543"/>
      <c r="H195" s="543"/>
    </row>
    <row r="196" spans="2:8" ht="18">
      <c r="B196" s="551"/>
      <c r="C196" s="543"/>
      <c r="D196" s="543"/>
      <c r="E196" s="543"/>
      <c r="F196" s="543"/>
      <c r="G196" s="543"/>
      <c r="H196" s="543"/>
    </row>
    <row r="197" spans="2:8" ht="18">
      <c r="B197" s="551"/>
      <c r="C197" s="543"/>
      <c r="D197" s="543"/>
      <c r="E197" s="543"/>
      <c r="F197" s="543"/>
      <c r="G197" s="543"/>
      <c r="H197" s="543"/>
    </row>
    <row r="198" spans="2:8" ht="18">
      <c r="B198" s="551"/>
      <c r="C198" s="543"/>
      <c r="D198" s="543"/>
      <c r="E198" s="543"/>
      <c r="F198" s="543"/>
      <c r="G198" s="543"/>
      <c r="H198" s="543"/>
    </row>
    <row r="199" spans="2:8" ht="18">
      <c r="B199" s="551"/>
      <c r="C199" s="543"/>
      <c r="D199" s="543"/>
      <c r="E199" s="543"/>
      <c r="F199" s="543"/>
      <c r="G199" s="543"/>
      <c r="H199" s="543"/>
    </row>
    <row r="200" spans="2:8" ht="18">
      <c r="B200" s="551"/>
      <c r="C200" s="543"/>
      <c r="D200" s="543"/>
      <c r="E200" s="543"/>
      <c r="F200" s="543"/>
      <c r="G200" s="543"/>
      <c r="H200" s="543"/>
    </row>
    <row r="201" spans="2:8" ht="18">
      <c r="B201" s="551"/>
      <c r="C201" s="543"/>
      <c r="D201" s="543"/>
      <c r="E201" s="543"/>
      <c r="F201" s="543"/>
      <c r="G201" s="543"/>
      <c r="H201" s="543"/>
    </row>
    <row r="202" spans="2:8" ht="18">
      <c r="B202" s="551"/>
      <c r="C202" s="543"/>
      <c r="D202" s="543"/>
      <c r="E202" s="543"/>
      <c r="F202" s="543"/>
      <c r="G202" s="543"/>
      <c r="H202" s="543"/>
    </row>
    <row r="203" spans="2:8" ht="18">
      <c r="B203" s="551"/>
      <c r="C203" s="543"/>
      <c r="D203" s="543"/>
      <c r="E203" s="543"/>
      <c r="F203" s="543"/>
      <c r="G203" s="543"/>
      <c r="H203" s="543"/>
    </row>
    <row r="204" spans="2:8" ht="18">
      <c r="B204" s="551"/>
      <c r="C204" s="543"/>
      <c r="D204" s="543"/>
      <c r="E204" s="543"/>
      <c r="F204" s="543"/>
      <c r="G204" s="543"/>
      <c r="H204" s="543"/>
    </row>
    <row r="205" spans="2:8" ht="18">
      <c r="B205" s="551"/>
      <c r="C205" s="543"/>
      <c r="D205" s="543"/>
      <c r="E205" s="543"/>
      <c r="F205" s="543"/>
      <c r="G205" s="543"/>
      <c r="H205" s="543"/>
    </row>
    <row r="206" spans="2:8" ht="18">
      <c r="B206" s="551"/>
      <c r="C206" s="543"/>
      <c r="D206" s="543"/>
      <c r="E206" s="543"/>
      <c r="F206" s="543"/>
      <c r="G206" s="543"/>
      <c r="H206" s="543"/>
    </row>
    <row r="207" spans="2:8" ht="18">
      <c r="B207" s="551"/>
      <c r="C207" s="543"/>
      <c r="D207" s="543"/>
      <c r="E207" s="543"/>
      <c r="F207" s="543"/>
      <c r="G207" s="543"/>
      <c r="H207" s="543"/>
    </row>
    <row r="208" spans="2:8" ht="18">
      <c r="B208" s="551"/>
      <c r="C208" s="543"/>
      <c r="D208" s="543"/>
      <c r="E208" s="543"/>
      <c r="F208" s="543"/>
      <c r="G208" s="543"/>
      <c r="H208" s="543"/>
    </row>
    <row r="209" spans="2:8" ht="18">
      <c r="B209" s="551"/>
      <c r="C209" s="543"/>
      <c r="D209" s="543"/>
      <c r="E209" s="543"/>
      <c r="F209" s="543"/>
      <c r="G209" s="543"/>
      <c r="H209" s="543"/>
    </row>
    <row r="210" spans="2:8" ht="18">
      <c r="B210" s="551"/>
      <c r="C210" s="543"/>
      <c r="D210" s="543"/>
      <c r="E210" s="543"/>
      <c r="F210" s="543"/>
      <c r="G210" s="543"/>
      <c r="H210" s="543"/>
    </row>
    <row r="211" spans="2:8" ht="18">
      <c r="B211" s="551"/>
      <c r="C211" s="543"/>
      <c r="D211" s="543"/>
      <c r="E211" s="543"/>
      <c r="F211" s="543"/>
      <c r="G211" s="543"/>
      <c r="H211" s="543"/>
    </row>
    <row r="212" spans="2:8" ht="18">
      <c r="B212" s="551"/>
      <c r="C212" s="543"/>
      <c r="D212" s="543"/>
      <c r="E212" s="543"/>
      <c r="F212" s="543"/>
      <c r="G212" s="543"/>
      <c r="H212" s="543"/>
    </row>
    <row r="213" spans="2:8" ht="18">
      <c r="B213" s="551"/>
      <c r="C213" s="543"/>
      <c r="D213" s="543"/>
      <c r="E213" s="543"/>
      <c r="F213" s="543"/>
      <c r="G213" s="543"/>
      <c r="H213" s="543"/>
    </row>
    <row r="214" spans="2:8" ht="18">
      <c r="B214" s="551"/>
      <c r="C214" s="543"/>
      <c r="D214" s="543"/>
      <c r="E214" s="543"/>
      <c r="F214" s="543"/>
      <c r="G214" s="543"/>
      <c r="H214" s="543"/>
    </row>
    <row r="215" spans="2:8" ht="18">
      <c r="B215" s="551"/>
      <c r="C215" s="543"/>
      <c r="D215" s="543"/>
      <c r="E215" s="543"/>
      <c r="F215" s="543"/>
      <c r="G215" s="543"/>
      <c r="H215" s="543"/>
    </row>
    <row r="216" spans="2:8" ht="18">
      <c r="B216" s="551"/>
      <c r="C216" s="543"/>
      <c r="D216" s="543"/>
      <c r="E216" s="543"/>
      <c r="F216" s="543"/>
      <c r="G216" s="543"/>
      <c r="H216" s="543"/>
    </row>
    <row r="217" spans="2:8" ht="18">
      <c r="B217" s="551"/>
      <c r="C217" s="543"/>
      <c r="D217" s="543"/>
      <c r="E217" s="543"/>
      <c r="F217" s="543"/>
      <c r="G217" s="543"/>
      <c r="H217" s="543"/>
    </row>
    <row r="218" spans="2:8" ht="18">
      <c r="B218" s="551"/>
      <c r="C218" s="543"/>
      <c r="D218" s="543"/>
      <c r="E218" s="543"/>
      <c r="F218" s="543"/>
      <c r="G218" s="543"/>
      <c r="H218" s="543"/>
    </row>
    <row r="219" spans="2:8" ht="18">
      <c r="B219" s="551"/>
      <c r="C219" s="543"/>
      <c r="D219" s="543"/>
      <c r="E219" s="543"/>
      <c r="F219" s="543"/>
      <c r="G219" s="543"/>
      <c r="H219" s="543"/>
    </row>
    <row r="220" spans="2:8" ht="18">
      <c r="B220" s="551"/>
      <c r="C220" s="543"/>
      <c r="D220" s="543"/>
      <c r="E220" s="543"/>
      <c r="F220" s="543"/>
      <c r="G220" s="543"/>
      <c r="H220" s="543"/>
    </row>
    <row r="221" spans="2:8" ht="18">
      <c r="B221" s="551"/>
      <c r="C221" s="543"/>
      <c r="D221" s="543"/>
      <c r="E221" s="543"/>
      <c r="F221" s="543"/>
      <c r="G221" s="543"/>
      <c r="H221" s="543"/>
    </row>
    <row r="222" spans="2:8" ht="18">
      <c r="B222" s="551"/>
      <c r="C222" s="543"/>
      <c r="D222" s="543"/>
      <c r="E222" s="543"/>
      <c r="F222" s="543"/>
      <c r="G222" s="543"/>
      <c r="H222" s="543"/>
    </row>
    <row r="223" spans="2:8" ht="18">
      <c r="B223" s="551"/>
      <c r="C223" s="543"/>
      <c r="D223" s="543"/>
      <c r="E223" s="543"/>
      <c r="F223" s="543"/>
      <c r="G223" s="543"/>
      <c r="H223" s="543"/>
    </row>
    <row r="224" spans="2:8" ht="18">
      <c r="B224" s="551"/>
      <c r="C224" s="543"/>
      <c r="D224" s="543"/>
      <c r="E224" s="543"/>
      <c r="F224" s="543"/>
      <c r="G224" s="543"/>
      <c r="H224" s="543"/>
    </row>
    <row r="225" spans="2:9" ht="18">
      <c r="B225" s="551"/>
      <c r="C225" s="543"/>
      <c r="D225" s="543"/>
      <c r="E225" s="543"/>
      <c r="F225" s="543"/>
      <c r="G225" s="543"/>
      <c r="H225" s="543"/>
    </row>
    <row r="226" spans="2:9" ht="18">
      <c r="B226" s="551"/>
      <c r="C226" s="543"/>
      <c r="D226" s="543"/>
      <c r="E226" s="543"/>
      <c r="F226" s="543"/>
      <c r="G226" s="543"/>
      <c r="H226" s="543"/>
    </row>
    <row r="227" spans="2:9" ht="18">
      <c r="B227" s="551"/>
      <c r="C227" s="543"/>
      <c r="D227" s="543"/>
      <c r="E227" s="543"/>
      <c r="F227" s="543"/>
      <c r="G227" s="543"/>
      <c r="H227" s="543"/>
    </row>
    <row r="228" spans="2:9" ht="18">
      <c r="B228" s="551"/>
      <c r="C228" s="543"/>
      <c r="D228" s="543"/>
      <c r="E228" s="543"/>
      <c r="F228" s="543"/>
      <c r="G228" s="543"/>
      <c r="H228" s="543"/>
      <c r="I228" s="860"/>
    </row>
    <row r="229" spans="2:9" ht="18">
      <c r="B229" s="551"/>
      <c r="C229" s="543"/>
      <c r="D229" s="543"/>
      <c r="E229" s="543"/>
      <c r="F229" s="543"/>
      <c r="G229" s="543"/>
      <c r="H229" s="543"/>
    </row>
    <row r="230" spans="2:9" ht="18">
      <c r="B230" s="551"/>
      <c r="C230" s="543"/>
      <c r="D230" s="543"/>
      <c r="E230" s="543"/>
      <c r="F230" s="543"/>
      <c r="G230" s="543"/>
      <c r="H230" s="543"/>
    </row>
    <row r="231" spans="2:9">
      <c r="B231" s="463"/>
      <c r="C231" s="461"/>
      <c r="D231" s="461"/>
      <c r="E231" s="461"/>
      <c r="F231" s="461"/>
      <c r="G231" s="461"/>
      <c r="H231" s="461"/>
    </row>
    <row r="232" spans="2:9">
      <c r="B232" s="463"/>
      <c r="C232" s="461"/>
      <c r="D232" s="461"/>
      <c r="E232" s="461"/>
      <c r="F232" s="461"/>
      <c r="G232" s="461"/>
      <c r="H232" s="461"/>
    </row>
    <row r="233" spans="2:9">
      <c r="B233" s="463"/>
      <c r="C233" s="461"/>
      <c r="D233" s="461"/>
      <c r="E233" s="461"/>
      <c r="F233" s="461"/>
      <c r="G233" s="461"/>
      <c r="H233" s="461"/>
    </row>
    <row r="234" spans="2:9">
      <c r="B234" s="463"/>
      <c r="C234" s="461"/>
      <c r="D234" s="461"/>
      <c r="E234" s="461"/>
      <c r="F234" s="461"/>
      <c r="G234" s="461"/>
      <c r="H234" s="461"/>
    </row>
    <row r="235" spans="2:9">
      <c r="B235" s="463"/>
      <c r="C235" s="461"/>
      <c r="D235" s="461"/>
      <c r="E235" s="461"/>
      <c r="F235" s="461"/>
      <c r="G235" s="461"/>
      <c r="H235" s="461"/>
    </row>
    <row r="236" spans="2:9">
      <c r="B236" s="463"/>
      <c r="C236" s="461"/>
      <c r="D236" s="461"/>
      <c r="E236" s="461"/>
      <c r="F236" s="461"/>
      <c r="G236" s="461"/>
      <c r="H236" s="461"/>
    </row>
    <row r="237" spans="2:9">
      <c r="B237" s="463"/>
      <c r="C237" s="461"/>
      <c r="D237" s="461"/>
      <c r="E237" s="461"/>
      <c r="F237" s="461"/>
      <c r="G237" s="461"/>
      <c r="H237" s="461"/>
    </row>
    <row r="238" spans="2:9">
      <c r="B238" s="463"/>
      <c r="C238" s="461"/>
      <c r="D238" s="461"/>
      <c r="E238" s="461"/>
      <c r="F238" s="461"/>
      <c r="G238" s="461"/>
      <c r="H238" s="461"/>
    </row>
    <row r="239" spans="2:9">
      <c r="B239" s="463"/>
      <c r="C239" s="461"/>
      <c r="D239" s="461"/>
      <c r="E239" s="461"/>
      <c r="F239" s="461"/>
      <c r="G239" s="461"/>
      <c r="H239" s="461"/>
    </row>
    <row r="240" spans="2:9">
      <c r="B240" s="463"/>
      <c r="C240" s="461"/>
      <c r="D240" s="461"/>
      <c r="E240" s="461"/>
      <c r="F240" s="461"/>
      <c r="G240" s="461"/>
      <c r="H240" s="461"/>
    </row>
    <row r="241" spans="2:8">
      <c r="B241" s="463"/>
      <c r="C241" s="461"/>
      <c r="D241" s="461"/>
      <c r="E241" s="461"/>
      <c r="F241" s="461"/>
      <c r="G241" s="461"/>
      <c r="H241" s="461"/>
    </row>
    <row r="242" spans="2:8">
      <c r="B242" s="463"/>
      <c r="C242" s="461"/>
      <c r="D242" s="461"/>
      <c r="E242" s="461"/>
      <c r="F242" s="461"/>
      <c r="G242" s="461"/>
      <c r="H242" s="461"/>
    </row>
    <row r="243" spans="2:8">
      <c r="B243" s="463"/>
      <c r="C243" s="461"/>
      <c r="D243" s="461"/>
      <c r="E243" s="461"/>
      <c r="F243" s="461"/>
      <c r="G243" s="461"/>
      <c r="H243" s="461"/>
    </row>
    <row r="244" spans="2:8">
      <c r="B244" s="463"/>
      <c r="C244" s="461"/>
      <c r="D244" s="461"/>
      <c r="E244" s="461"/>
      <c r="F244" s="461"/>
      <c r="G244" s="461"/>
      <c r="H244" s="461"/>
    </row>
    <row r="245" spans="2:8">
      <c r="B245" s="463"/>
      <c r="C245" s="461"/>
      <c r="D245" s="461"/>
      <c r="E245" s="461"/>
      <c r="F245" s="461"/>
      <c r="G245" s="461"/>
      <c r="H245" s="461"/>
    </row>
    <row r="246" spans="2:8">
      <c r="B246" s="463"/>
      <c r="C246" s="461"/>
      <c r="D246" s="461"/>
      <c r="E246" s="461"/>
      <c r="F246" s="461"/>
      <c r="G246" s="461"/>
      <c r="H246" s="461"/>
    </row>
    <row r="247" spans="2:8">
      <c r="B247" s="463"/>
      <c r="C247" s="461"/>
      <c r="D247" s="461"/>
      <c r="E247" s="461"/>
      <c r="F247" s="461"/>
      <c r="G247" s="461"/>
      <c r="H247" s="461"/>
    </row>
    <row r="248" spans="2:8">
      <c r="B248" s="463"/>
      <c r="C248" s="461"/>
      <c r="D248" s="461"/>
      <c r="E248" s="461"/>
      <c r="F248" s="461"/>
      <c r="G248" s="461"/>
      <c r="H248" s="461"/>
    </row>
    <row r="249" spans="2:8">
      <c r="B249" s="463"/>
      <c r="C249" s="461"/>
      <c r="D249" s="461"/>
      <c r="E249" s="461"/>
      <c r="F249" s="461"/>
      <c r="G249" s="461"/>
      <c r="H249" s="461"/>
    </row>
    <row r="250" spans="2:8">
      <c r="B250" s="463"/>
      <c r="C250" s="461"/>
      <c r="D250" s="461"/>
      <c r="E250" s="461"/>
      <c r="F250" s="461"/>
      <c r="G250" s="461"/>
      <c r="H250" s="461"/>
    </row>
    <row r="251" spans="2:8">
      <c r="B251" s="463"/>
      <c r="C251" s="461"/>
      <c r="D251" s="461"/>
      <c r="E251" s="461"/>
      <c r="F251" s="461"/>
      <c r="G251" s="461"/>
      <c r="H251" s="461"/>
    </row>
    <row r="252" spans="2:8">
      <c r="B252" s="463"/>
      <c r="C252" s="461"/>
      <c r="D252" s="461"/>
      <c r="E252" s="461"/>
      <c r="F252" s="461"/>
      <c r="G252" s="461"/>
      <c r="H252" s="461"/>
    </row>
    <row r="253" spans="2:8">
      <c r="B253" s="463"/>
      <c r="C253" s="461"/>
      <c r="D253" s="461"/>
      <c r="E253" s="461"/>
      <c r="F253" s="461"/>
      <c r="G253" s="461"/>
      <c r="H253" s="461"/>
    </row>
    <row r="254" spans="2:8">
      <c r="B254" s="463"/>
      <c r="C254" s="461"/>
      <c r="D254" s="461"/>
      <c r="E254" s="461"/>
      <c r="F254" s="461"/>
      <c r="G254" s="461"/>
      <c r="H254" s="461"/>
    </row>
    <row r="255" spans="2:8">
      <c r="B255" s="463"/>
      <c r="C255" s="461"/>
      <c r="D255" s="461"/>
      <c r="E255" s="461"/>
      <c r="F255" s="461"/>
      <c r="G255" s="461"/>
      <c r="H255" s="461"/>
    </row>
    <row r="256" spans="2:8">
      <c r="B256" s="463"/>
      <c r="C256" s="461"/>
      <c r="D256" s="461"/>
      <c r="E256" s="461"/>
      <c r="F256" s="461"/>
      <c r="G256" s="461"/>
      <c r="H256" s="461"/>
    </row>
    <row r="257" spans="2:8">
      <c r="B257" s="463"/>
      <c r="C257" s="461"/>
      <c r="D257" s="461"/>
      <c r="E257" s="461"/>
      <c r="F257" s="461"/>
      <c r="G257" s="461"/>
      <c r="H257" s="461"/>
    </row>
    <row r="258" spans="2:8">
      <c r="B258" s="463"/>
      <c r="C258" s="461"/>
      <c r="D258" s="461"/>
      <c r="E258" s="461"/>
      <c r="F258" s="461"/>
      <c r="G258" s="461"/>
      <c r="H258" s="461"/>
    </row>
    <row r="259" spans="2:8">
      <c r="B259" s="463"/>
      <c r="C259" s="461"/>
      <c r="D259" s="461"/>
      <c r="E259" s="461"/>
      <c r="F259" s="461"/>
      <c r="G259" s="461"/>
      <c r="H259" s="461"/>
    </row>
    <row r="260" spans="2:8">
      <c r="B260" s="463"/>
      <c r="C260" s="461"/>
      <c r="D260" s="461"/>
      <c r="E260" s="461"/>
      <c r="F260" s="461"/>
      <c r="G260" s="461"/>
      <c r="H260" s="461"/>
    </row>
    <row r="261" spans="2:8">
      <c r="B261" s="463"/>
      <c r="C261" s="461"/>
      <c r="D261" s="461"/>
      <c r="E261" s="461"/>
      <c r="F261" s="461"/>
      <c r="G261" s="461"/>
      <c r="H261" s="461"/>
    </row>
    <row r="262" spans="2:8">
      <c r="B262" s="463"/>
      <c r="C262" s="461"/>
      <c r="D262" s="461"/>
      <c r="E262" s="461"/>
      <c r="F262" s="461"/>
      <c r="G262" s="461"/>
      <c r="H262" s="461"/>
    </row>
    <row r="263" spans="2:8">
      <c r="B263" s="463"/>
      <c r="C263" s="461"/>
      <c r="D263" s="461"/>
      <c r="E263" s="461"/>
      <c r="F263" s="461"/>
      <c r="G263" s="461"/>
      <c r="H263" s="461"/>
    </row>
    <row r="264" spans="2:8">
      <c r="B264" s="463"/>
      <c r="C264" s="461"/>
      <c r="D264" s="461"/>
      <c r="E264" s="461"/>
      <c r="F264" s="461"/>
      <c r="G264" s="461"/>
      <c r="H264" s="461"/>
    </row>
    <row r="265" spans="2:8">
      <c r="B265" s="463"/>
      <c r="C265" s="461"/>
      <c r="D265" s="461"/>
      <c r="E265" s="461"/>
      <c r="F265" s="461"/>
      <c r="G265" s="461"/>
      <c r="H265" s="461"/>
    </row>
    <row r="266" spans="2:8">
      <c r="B266" s="463"/>
      <c r="C266" s="461"/>
      <c r="D266" s="461"/>
      <c r="E266" s="461"/>
      <c r="F266" s="461"/>
      <c r="G266" s="461"/>
      <c r="H266" s="461"/>
    </row>
    <row r="267" spans="2:8">
      <c r="B267" s="463"/>
      <c r="C267" s="461"/>
      <c r="D267" s="461"/>
      <c r="E267" s="461"/>
      <c r="F267" s="461"/>
      <c r="G267" s="461"/>
      <c r="H267" s="461"/>
    </row>
    <row r="268" spans="2:8">
      <c r="B268" s="463"/>
      <c r="C268" s="461"/>
      <c r="D268" s="461"/>
      <c r="E268" s="461"/>
      <c r="F268" s="461"/>
      <c r="G268" s="461"/>
      <c r="H268" s="461"/>
    </row>
    <row r="269" spans="2:8">
      <c r="B269" s="463"/>
      <c r="C269" s="461"/>
      <c r="D269" s="461"/>
      <c r="E269" s="461"/>
      <c r="F269" s="461"/>
      <c r="G269" s="461"/>
      <c r="H269" s="461"/>
    </row>
    <row r="270" spans="2:8">
      <c r="B270" s="463"/>
      <c r="C270" s="461"/>
      <c r="D270" s="461"/>
      <c r="E270" s="461"/>
      <c r="F270" s="461"/>
      <c r="G270" s="461"/>
      <c r="H270" s="461"/>
    </row>
    <row r="271" spans="2:8">
      <c r="B271" s="463"/>
      <c r="C271" s="461"/>
      <c r="D271" s="461"/>
      <c r="E271" s="461"/>
      <c r="F271" s="461"/>
      <c r="G271" s="461"/>
      <c r="H271" s="461"/>
    </row>
    <row r="272" spans="2:8">
      <c r="B272" s="463"/>
      <c r="C272" s="461"/>
      <c r="D272" s="461"/>
      <c r="E272" s="461"/>
      <c r="F272" s="461"/>
      <c r="G272" s="461"/>
      <c r="H272" s="461"/>
    </row>
    <row r="273" spans="2:8">
      <c r="B273" s="463"/>
      <c r="C273" s="461"/>
      <c r="D273" s="461"/>
      <c r="E273" s="461"/>
      <c r="F273" s="461"/>
      <c r="G273" s="461"/>
      <c r="H273" s="461"/>
    </row>
    <row r="274" spans="2:8">
      <c r="B274" s="463"/>
      <c r="C274" s="461"/>
      <c r="D274" s="461"/>
      <c r="E274" s="461"/>
      <c r="F274" s="461"/>
      <c r="G274" s="461"/>
      <c r="H274" s="461"/>
    </row>
    <row r="275" spans="2:8">
      <c r="B275" s="463"/>
      <c r="C275" s="461"/>
      <c r="D275" s="461"/>
      <c r="E275" s="461"/>
      <c r="F275" s="461"/>
      <c r="G275" s="461"/>
      <c r="H275" s="461"/>
    </row>
    <row r="276" spans="2:8">
      <c r="B276" s="463"/>
      <c r="C276" s="461"/>
      <c r="D276" s="461"/>
      <c r="E276" s="461"/>
      <c r="F276" s="461"/>
      <c r="G276" s="461"/>
      <c r="H276" s="461"/>
    </row>
    <row r="277" spans="2:8">
      <c r="B277" s="463"/>
      <c r="C277" s="461"/>
      <c r="D277" s="461"/>
      <c r="E277" s="461"/>
      <c r="F277" s="461"/>
      <c r="G277" s="461"/>
      <c r="H277" s="461"/>
    </row>
    <row r="278" spans="2:8">
      <c r="B278" s="463"/>
      <c r="C278" s="461"/>
      <c r="D278" s="461"/>
      <c r="E278" s="461"/>
      <c r="F278" s="461"/>
      <c r="G278" s="461"/>
      <c r="H278" s="461"/>
    </row>
    <row r="279" spans="2:8">
      <c r="B279" s="463"/>
      <c r="C279" s="461"/>
      <c r="D279" s="461"/>
      <c r="E279" s="461"/>
      <c r="F279" s="461"/>
      <c r="G279" s="461"/>
      <c r="H279" s="461"/>
    </row>
    <row r="280" spans="2:8">
      <c r="B280" s="463"/>
      <c r="C280" s="461"/>
      <c r="D280" s="461"/>
      <c r="E280" s="461"/>
      <c r="F280" s="461"/>
      <c r="G280" s="461"/>
      <c r="H280" s="461"/>
    </row>
    <row r="281" spans="2:8">
      <c r="B281" s="463"/>
      <c r="C281" s="461"/>
      <c r="D281" s="461"/>
      <c r="E281" s="461"/>
      <c r="F281" s="461"/>
      <c r="G281" s="461"/>
      <c r="H281" s="461"/>
    </row>
    <row r="282" spans="2:8">
      <c r="B282" s="463"/>
      <c r="C282" s="461"/>
      <c r="D282" s="461"/>
      <c r="E282" s="461"/>
      <c r="F282" s="461"/>
      <c r="G282" s="461"/>
      <c r="H282" s="461"/>
    </row>
    <row r="283" spans="2:8">
      <c r="B283" s="463"/>
      <c r="C283" s="461"/>
      <c r="D283" s="461"/>
      <c r="E283" s="461"/>
      <c r="F283" s="461"/>
      <c r="G283" s="461"/>
      <c r="H283" s="461"/>
    </row>
    <row r="284" spans="2:8">
      <c r="B284" s="463"/>
      <c r="C284" s="461"/>
      <c r="D284" s="461"/>
      <c r="E284" s="461"/>
      <c r="F284" s="461"/>
      <c r="G284" s="461"/>
      <c r="H284" s="461"/>
    </row>
    <row r="285" spans="2:8">
      <c r="B285" s="463"/>
      <c r="C285" s="461"/>
      <c r="D285" s="461"/>
      <c r="E285" s="461"/>
      <c r="F285" s="461"/>
      <c r="G285" s="461"/>
      <c r="H285" s="461"/>
    </row>
    <row r="286" spans="2:8">
      <c r="B286" s="463"/>
      <c r="C286" s="461"/>
      <c r="D286" s="461"/>
      <c r="E286" s="461"/>
      <c r="F286" s="461"/>
      <c r="G286" s="461"/>
      <c r="H286" s="461"/>
    </row>
    <row r="287" spans="2:8">
      <c r="B287" s="463"/>
      <c r="C287" s="461"/>
      <c r="D287" s="461"/>
      <c r="E287" s="461"/>
      <c r="F287" s="461"/>
      <c r="G287" s="461"/>
      <c r="H287" s="461"/>
    </row>
    <row r="288" spans="2:8">
      <c r="B288" s="463"/>
      <c r="C288" s="461"/>
      <c r="D288" s="461"/>
      <c r="E288" s="461"/>
      <c r="F288" s="461"/>
      <c r="G288" s="461"/>
      <c r="H288" s="461"/>
    </row>
    <row r="289" spans="2:8">
      <c r="B289" s="463"/>
      <c r="C289" s="461"/>
      <c r="D289" s="461"/>
      <c r="E289" s="461"/>
      <c r="F289" s="461"/>
      <c r="G289" s="461"/>
      <c r="H289" s="461"/>
    </row>
    <row r="290" spans="2:8">
      <c r="B290" s="463"/>
      <c r="C290" s="461"/>
      <c r="D290" s="461"/>
      <c r="E290" s="461"/>
      <c r="F290" s="461"/>
      <c r="G290" s="461"/>
      <c r="H290" s="461"/>
    </row>
    <row r="291" spans="2:8">
      <c r="B291" s="463"/>
      <c r="C291" s="461"/>
      <c r="D291" s="461"/>
      <c r="E291" s="461"/>
      <c r="F291" s="461"/>
      <c r="G291" s="461"/>
      <c r="H291" s="461"/>
    </row>
    <row r="292" spans="2:8">
      <c r="B292" s="463"/>
      <c r="C292" s="461"/>
      <c r="D292" s="461"/>
      <c r="E292" s="461"/>
      <c r="F292" s="461"/>
      <c r="G292" s="461"/>
      <c r="H292" s="461"/>
    </row>
    <row r="293" spans="2:8">
      <c r="B293" s="463"/>
      <c r="C293" s="461"/>
      <c r="D293" s="461"/>
      <c r="E293" s="461"/>
      <c r="F293" s="461"/>
      <c r="G293" s="461"/>
      <c r="H293" s="461"/>
    </row>
    <row r="294" spans="2:8">
      <c r="B294" s="463"/>
      <c r="C294" s="461"/>
      <c r="D294" s="461"/>
      <c r="E294" s="461"/>
      <c r="F294" s="461"/>
      <c r="G294" s="461"/>
      <c r="H294" s="461"/>
    </row>
    <row r="295" spans="2:8">
      <c r="B295" s="463"/>
      <c r="C295" s="461"/>
      <c r="D295" s="461"/>
      <c r="E295" s="461"/>
      <c r="F295" s="461"/>
      <c r="G295" s="461"/>
      <c r="H295" s="461"/>
    </row>
    <row r="296" spans="2:8">
      <c r="B296" s="463"/>
      <c r="C296" s="461"/>
      <c r="D296" s="461"/>
      <c r="E296" s="461"/>
      <c r="F296" s="461"/>
      <c r="G296" s="461"/>
      <c r="H296" s="461"/>
    </row>
    <row r="297" spans="2:8">
      <c r="B297" s="463"/>
      <c r="C297" s="461"/>
      <c r="D297" s="461"/>
      <c r="E297" s="461"/>
      <c r="F297" s="461"/>
      <c r="G297" s="461"/>
      <c r="H297" s="461"/>
    </row>
    <row r="298" spans="2:8">
      <c r="B298" s="463"/>
      <c r="C298" s="461"/>
      <c r="D298" s="461"/>
      <c r="E298" s="461"/>
      <c r="F298" s="461"/>
      <c r="G298" s="461"/>
      <c r="H298" s="461"/>
    </row>
    <row r="299" spans="2:8">
      <c r="B299" s="463"/>
      <c r="C299" s="461"/>
      <c r="D299" s="461"/>
      <c r="E299" s="461"/>
      <c r="F299" s="461"/>
      <c r="G299" s="461"/>
      <c r="H299" s="461"/>
    </row>
    <row r="300" spans="2:8">
      <c r="B300" s="463"/>
      <c r="C300" s="461"/>
      <c r="D300" s="461"/>
      <c r="E300" s="461"/>
      <c r="F300" s="461"/>
      <c r="G300" s="461"/>
      <c r="H300" s="461"/>
    </row>
    <row r="301" spans="2:8">
      <c r="B301" s="463"/>
      <c r="C301" s="461"/>
      <c r="D301" s="461"/>
      <c r="E301" s="461"/>
      <c r="F301" s="461"/>
      <c r="G301" s="461"/>
      <c r="H301" s="461"/>
    </row>
    <row r="302" spans="2:8">
      <c r="B302" s="463"/>
      <c r="C302" s="461"/>
      <c r="D302" s="461"/>
      <c r="E302" s="461"/>
      <c r="F302" s="461"/>
      <c r="G302" s="461"/>
      <c r="H302" s="461"/>
    </row>
    <row r="303" spans="2:8">
      <c r="B303" s="463"/>
      <c r="C303" s="461"/>
      <c r="D303" s="461"/>
      <c r="E303" s="461"/>
      <c r="F303" s="461"/>
      <c r="G303" s="461"/>
      <c r="H303" s="461"/>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U521"/>
  <sheetViews>
    <sheetView zoomScale="70" zoomScaleNormal="70" workbookViewId="0">
      <selection activeCell="C36" sqref="C36"/>
    </sheetView>
  </sheetViews>
  <sheetFormatPr defaultColWidth="8.77734375" defaultRowHeight="15"/>
  <cols>
    <col min="1" max="1" width="8.77734375" style="455"/>
    <col min="2" max="2" width="51.44140625" style="464" customWidth="1"/>
    <col min="3" max="3" width="22.109375" style="455" customWidth="1"/>
    <col min="4" max="4" width="21.5546875" style="455" customWidth="1"/>
    <col min="5" max="5" width="20.77734375" style="455" customWidth="1"/>
    <col min="6" max="6" width="16.77734375" style="455" customWidth="1"/>
    <col min="7" max="7" width="20.44140625" style="455" customWidth="1"/>
    <col min="8" max="8" width="114.77734375" style="455" bestFit="1" customWidth="1"/>
    <col min="9" max="16384" width="8.77734375" style="455"/>
  </cols>
  <sheetData>
    <row r="1" spans="1:21" ht="18">
      <c r="B1" s="1605" t="str">
        <f>+'Appendix III'!E8</f>
        <v>MidAmerican Central California Transco, LLC</v>
      </c>
      <c r="C1" s="1606"/>
      <c r="D1" s="1606"/>
      <c r="E1" s="1606"/>
      <c r="F1" s="1606"/>
      <c r="G1" s="1606"/>
      <c r="H1" s="1606"/>
      <c r="I1" s="454"/>
      <c r="J1" s="454"/>
    </row>
    <row r="2" spans="1:21" ht="18">
      <c r="B2" s="1605" t="s">
        <v>360</v>
      </c>
      <c r="C2" s="1605"/>
      <c r="D2" s="1605"/>
      <c r="E2" s="1605"/>
      <c r="F2" s="1605"/>
      <c r="G2" s="1605"/>
      <c r="H2" s="1605"/>
      <c r="I2" s="454"/>
      <c r="J2" s="454"/>
    </row>
    <row r="3" spans="1:21" ht="18">
      <c r="B3" s="1610" t="s">
        <v>140</v>
      </c>
      <c r="C3" s="1610"/>
      <c r="D3" s="1610"/>
      <c r="E3" s="1610"/>
      <c r="F3" s="1610"/>
      <c r="G3" s="1610"/>
      <c r="H3" s="1610"/>
      <c r="I3" s="454"/>
      <c r="J3" s="454"/>
    </row>
    <row r="4" spans="1:21" ht="18">
      <c r="B4" s="499"/>
      <c r="C4" s="499"/>
      <c r="D4" s="499"/>
      <c r="E4" s="499"/>
      <c r="F4" s="499"/>
      <c r="G4" s="499"/>
      <c r="H4" s="499"/>
      <c r="I4" s="454"/>
      <c r="J4" s="454"/>
    </row>
    <row r="5" spans="1:21" ht="18">
      <c r="B5" s="465"/>
      <c r="C5" s="466"/>
      <c r="D5" s="499"/>
      <c r="E5" s="499"/>
      <c r="F5" s="466"/>
      <c r="G5" s="500"/>
      <c r="H5" s="466"/>
    </row>
    <row r="6" spans="1:21" ht="15.75">
      <c r="B6" s="465"/>
      <c r="C6" s="466"/>
      <c r="D6" s="500" t="s">
        <v>26</v>
      </c>
      <c r="E6" s="500" t="s">
        <v>331</v>
      </c>
      <c r="F6" s="500" t="s">
        <v>326</v>
      </c>
      <c r="G6" s="500" t="s">
        <v>21</v>
      </c>
      <c r="H6" s="466"/>
      <c r="I6" s="456"/>
      <c r="J6" s="457"/>
      <c r="K6" s="457"/>
      <c r="L6" s="457"/>
      <c r="M6" s="457"/>
      <c r="N6" s="457"/>
      <c r="O6" s="457"/>
      <c r="P6" s="457"/>
      <c r="Q6" s="457"/>
      <c r="R6" s="457"/>
      <c r="S6" s="457"/>
      <c r="T6" s="457"/>
      <c r="U6" s="458"/>
    </row>
    <row r="7" spans="1:21" ht="15.75">
      <c r="A7" s="467" t="s">
        <v>661</v>
      </c>
      <c r="C7" s="466"/>
      <c r="D7" s="500" t="s">
        <v>332</v>
      </c>
      <c r="E7" s="500" t="s">
        <v>332</v>
      </c>
      <c r="F7" s="500" t="s">
        <v>332</v>
      </c>
      <c r="G7" s="500" t="s">
        <v>2</v>
      </c>
      <c r="H7" s="466"/>
      <c r="J7" s="457"/>
      <c r="K7" s="457"/>
      <c r="L7" s="457"/>
      <c r="M7" s="457"/>
      <c r="N7" s="457"/>
      <c r="O7" s="457"/>
      <c r="P7" s="457"/>
      <c r="Q7" s="457"/>
      <c r="R7" s="457"/>
      <c r="S7" s="457"/>
      <c r="T7" s="457"/>
      <c r="U7" s="458"/>
    </row>
    <row r="8" spans="1:21" ht="15.75">
      <c r="A8" s="467"/>
      <c r="C8" s="466"/>
      <c r="D8" s="466"/>
      <c r="E8" s="466"/>
      <c r="F8" s="466"/>
      <c r="G8" s="466"/>
      <c r="H8" s="466"/>
    </row>
    <row r="9" spans="1:21" ht="15.75">
      <c r="A9" s="467">
        <v>1</v>
      </c>
      <c r="C9" s="466" t="s">
        <v>333</v>
      </c>
      <c r="D9" s="644">
        <f>+E67</f>
        <v>0</v>
      </c>
      <c r="E9" s="644">
        <f>+F67</f>
        <v>0</v>
      </c>
      <c r="F9" s="644">
        <f>+G67</f>
        <v>0</v>
      </c>
      <c r="G9" s="644"/>
      <c r="H9" s="466" t="s">
        <v>334</v>
      </c>
    </row>
    <row r="10" spans="1:21" ht="15.75">
      <c r="A10" s="467">
        <f>+A9+1</f>
        <v>2</v>
      </c>
      <c r="C10" s="466" t="s">
        <v>335</v>
      </c>
      <c r="D10" s="442">
        <f>+E96</f>
        <v>-1047133</v>
      </c>
      <c r="E10" s="644">
        <f>+F96</f>
        <v>0</v>
      </c>
      <c r="F10" s="644">
        <f>+G96</f>
        <v>0</v>
      </c>
      <c r="G10" s="644"/>
      <c r="H10" s="466" t="s">
        <v>336</v>
      </c>
    </row>
    <row r="11" spans="1:21" ht="15.75">
      <c r="A11" s="467">
        <f t="shared" ref="A11:A74" si="0">+A10+1</f>
        <v>3</v>
      </c>
      <c r="C11" s="466" t="s">
        <v>337</v>
      </c>
      <c r="D11" s="644">
        <f>E39</f>
        <v>60909</v>
      </c>
      <c r="E11" s="644">
        <f>F39</f>
        <v>0</v>
      </c>
      <c r="F11" s="644">
        <f>G39</f>
        <v>0</v>
      </c>
      <c r="G11" s="644"/>
      <c r="H11" s="466" t="s">
        <v>338</v>
      </c>
    </row>
    <row r="12" spans="1:21" ht="15.75">
      <c r="A12" s="467">
        <f t="shared" si="0"/>
        <v>4</v>
      </c>
      <c r="C12" s="466" t="s">
        <v>339</v>
      </c>
      <c r="D12" s="442">
        <f>SUM(D9:D11)</f>
        <v>-986224</v>
      </c>
      <c r="E12" s="644">
        <f>SUM(E9:E11)</f>
        <v>0</v>
      </c>
      <c r="F12" s="644">
        <f>SUM(F9:F11)</f>
        <v>0</v>
      </c>
      <c r="G12" s="644"/>
      <c r="H12" s="468"/>
    </row>
    <row r="13" spans="1:21" ht="18">
      <c r="A13" s="467">
        <f t="shared" si="0"/>
        <v>5</v>
      </c>
      <c r="C13" s="466" t="s">
        <v>340</v>
      </c>
      <c r="D13" s="644"/>
      <c r="E13" s="644"/>
      <c r="F13" s="644">
        <f>+'Appendix III'!J196</f>
        <v>1</v>
      </c>
      <c r="G13" s="644"/>
      <c r="H13" s="519" t="s">
        <v>1036</v>
      </c>
    </row>
    <row r="14" spans="1:21" ht="18">
      <c r="A14" s="467">
        <f t="shared" si="0"/>
        <v>6</v>
      </c>
      <c r="C14" s="466" t="s">
        <v>38</v>
      </c>
      <c r="D14" s="644"/>
      <c r="E14" s="644">
        <f>+'Appendix III'!H70</f>
        <v>1</v>
      </c>
      <c r="F14" s="644"/>
      <c r="G14" s="644"/>
      <c r="H14" s="519" t="s">
        <v>1037</v>
      </c>
    </row>
    <row r="15" spans="1:21" ht="15.75">
      <c r="A15" s="467">
        <f t="shared" si="0"/>
        <v>7</v>
      </c>
      <c r="C15" s="466" t="s">
        <v>341</v>
      </c>
      <c r="D15" s="442">
        <f>+D12</f>
        <v>-986224</v>
      </c>
      <c r="E15" s="644">
        <f>+E12*E14</f>
        <v>0</v>
      </c>
      <c r="F15" s="644">
        <f>+F13*F12</f>
        <v>0</v>
      </c>
      <c r="G15" s="442">
        <f>+D15+E15+F15</f>
        <v>-986224</v>
      </c>
      <c r="H15" s="469" t="s">
        <v>951</v>
      </c>
    </row>
    <row r="16" spans="1:21" ht="15.75">
      <c r="A16" s="467">
        <f t="shared" si="0"/>
        <v>8</v>
      </c>
      <c r="B16" s="465"/>
      <c r="C16" s="466"/>
      <c r="D16" s="468"/>
      <c r="E16" s="468"/>
      <c r="F16" s="468"/>
      <c r="G16" s="468"/>
      <c r="H16" s="469"/>
    </row>
    <row r="17" spans="1:9" s="456" customFormat="1" ht="15.75">
      <c r="A17" s="467">
        <f t="shared" si="0"/>
        <v>9</v>
      </c>
      <c r="B17" s="466"/>
      <c r="C17" s="466"/>
      <c r="D17" s="466"/>
      <c r="E17" s="466"/>
      <c r="F17" s="466"/>
      <c r="G17" s="466"/>
      <c r="H17" s="468"/>
    </row>
    <row r="18" spans="1:9" s="456" customFormat="1" ht="15.75">
      <c r="A18" s="467">
        <f t="shared" si="0"/>
        <v>10</v>
      </c>
      <c r="B18" s="466"/>
      <c r="C18" s="466"/>
      <c r="D18" s="468"/>
      <c r="E18" s="466"/>
      <c r="F18" s="466"/>
      <c r="G18" s="466"/>
      <c r="H18" s="442"/>
    </row>
    <row r="19" spans="1:9" ht="15.75">
      <c r="A19" s="467">
        <f t="shared" si="0"/>
        <v>11</v>
      </c>
      <c r="B19" s="466"/>
      <c r="C19" s="466"/>
      <c r="D19" s="466"/>
      <c r="E19" s="466"/>
      <c r="F19" s="466"/>
      <c r="G19" s="466"/>
      <c r="H19" s="470"/>
    </row>
    <row r="20" spans="1:9" ht="15.75">
      <c r="A20" s="467">
        <f t="shared" si="0"/>
        <v>12</v>
      </c>
      <c r="B20" s="465" t="s">
        <v>342</v>
      </c>
      <c r="C20" s="466"/>
      <c r="D20" s="466"/>
      <c r="E20" s="466"/>
      <c r="F20" s="466"/>
      <c r="G20" s="466"/>
      <c r="H20" s="466"/>
    </row>
    <row r="21" spans="1:9" ht="15.75">
      <c r="A21" s="467">
        <f t="shared" si="0"/>
        <v>13</v>
      </c>
      <c r="B21" s="465" t="s">
        <v>501</v>
      </c>
      <c r="C21" s="466"/>
      <c r="D21" s="466"/>
      <c r="E21" s="466"/>
      <c r="F21" s="466"/>
      <c r="G21" s="466"/>
      <c r="H21" s="466"/>
    </row>
    <row r="22" spans="1:9" ht="15.75">
      <c r="A22" s="467">
        <f t="shared" si="0"/>
        <v>14</v>
      </c>
      <c r="B22" s="500" t="s">
        <v>77</v>
      </c>
      <c r="C22" s="500" t="s">
        <v>78</v>
      </c>
      <c r="D22" s="500" t="s">
        <v>79</v>
      </c>
      <c r="E22" s="500" t="s">
        <v>80</v>
      </c>
      <c r="F22" s="500" t="s">
        <v>81</v>
      </c>
      <c r="G22" s="500" t="s">
        <v>82</v>
      </c>
      <c r="H22" s="500" t="s">
        <v>84</v>
      </c>
    </row>
    <row r="23" spans="1:9" ht="18">
      <c r="A23" s="467">
        <f t="shared" si="0"/>
        <v>15</v>
      </c>
      <c r="B23" s="465"/>
      <c r="C23" s="500" t="s">
        <v>21</v>
      </c>
      <c r="D23" s="500" t="s">
        <v>343</v>
      </c>
      <c r="E23" s="499"/>
      <c r="F23" s="499"/>
      <c r="G23" s="499"/>
      <c r="H23" s="466"/>
    </row>
    <row r="24" spans="1:9" ht="15.75">
      <c r="A24" s="467">
        <f t="shared" si="0"/>
        <v>16</v>
      </c>
      <c r="B24" s="465" t="s">
        <v>337</v>
      </c>
      <c r="C24" s="500"/>
      <c r="D24" s="500" t="s">
        <v>344</v>
      </c>
      <c r="E24" s="500" t="s">
        <v>26</v>
      </c>
      <c r="F24" s="500" t="s">
        <v>331</v>
      </c>
      <c r="G24" s="500" t="s">
        <v>326</v>
      </c>
      <c r="H24" s="466"/>
    </row>
    <row r="25" spans="1:9" ht="15.75">
      <c r="A25" s="467">
        <f t="shared" si="0"/>
        <v>17</v>
      </c>
      <c r="B25" s="465"/>
      <c r="C25" s="500"/>
      <c r="D25" s="500" t="s">
        <v>332</v>
      </c>
      <c r="E25" s="500" t="s">
        <v>332</v>
      </c>
      <c r="F25" s="500" t="s">
        <v>332</v>
      </c>
      <c r="G25" s="500" t="s">
        <v>332</v>
      </c>
      <c r="H25" s="500" t="s">
        <v>345</v>
      </c>
    </row>
    <row r="26" spans="1:9" ht="35.1" hidden="1" customHeight="1">
      <c r="A26" s="467">
        <f t="shared" si="0"/>
        <v>18</v>
      </c>
      <c r="B26" s="471"/>
      <c r="C26" s="472"/>
      <c r="D26" s="473"/>
      <c r="E26" s="473"/>
      <c r="F26" s="473"/>
      <c r="G26" s="473"/>
      <c r="H26" s="474"/>
      <c r="I26" s="459"/>
    </row>
    <row r="27" spans="1:9" ht="35.1" hidden="1" customHeight="1">
      <c r="A27" s="467">
        <f t="shared" si="0"/>
        <v>19</v>
      </c>
      <c r="B27" s="475"/>
      <c r="C27" s="472"/>
      <c r="D27" s="473"/>
      <c r="E27" s="473"/>
      <c r="F27" s="473"/>
      <c r="G27" s="473"/>
      <c r="H27" s="474"/>
      <c r="I27" s="459"/>
    </row>
    <row r="28" spans="1:9" ht="35.1" hidden="1" customHeight="1">
      <c r="A28" s="467">
        <f t="shared" si="0"/>
        <v>20</v>
      </c>
      <c r="B28" s="475"/>
      <c r="C28" s="472"/>
      <c r="D28" s="473"/>
      <c r="E28" s="473"/>
      <c r="F28" s="473"/>
      <c r="G28" s="473"/>
      <c r="H28" s="474"/>
      <c r="I28" s="459"/>
    </row>
    <row r="29" spans="1:9" ht="35.1" hidden="1" customHeight="1">
      <c r="A29" s="467">
        <f t="shared" si="0"/>
        <v>21</v>
      </c>
      <c r="B29" s="475"/>
      <c r="C29" s="472"/>
      <c r="D29" s="473"/>
      <c r="E29" s="473"/>
      <c r="F29" s="473"/>
      <c r="G29" s="473"/>
      <c r="H29" s="474"/>
      <c r="I29" s="459"/>
    </row>
    <row r="30" spans="1:9" ht="35.1" hidden="1" customHeight="1">
      <c r="A30" s="467">
        <f t="shared" si="0"/>
        <v>22</v>
      </c>
      <c r="B30" s="475"/>
      <c r="C30" s="472"/>
      <c r="D30" s="473"/>
      <c r="E30" s="473"/>
      <c r="F30" s="473"/>
      <c r="G30" s="473"/>
      <c r="H30" s="474"/>
      <c r="I30" s="459"/>
    </row>
    <row r="31" spans="1:9" ht="35.1" hidden="1" customHeight="1">
      <c r="A31" s="467">
        <f t="shared" si="0"/>
        <v>23</v>
      </c>
      <c r="B31" s="475"/>
      <c r="C31" s="472"/>
      <c r="D31" s="473"/>
      <c r="E31" s="473"/>
      <c r="F31" s="473"/>
      <c r="G31" s="473"/>
      <c r="H31" s="474"/>
      <c r="I31" s="459"/>
    </row>
    <row r="32" spans="1:9" ht="35.1" hidden="1" customHeight="1">
      <c r="A32" s="467">
        <f t="shared" si="0"/>
        <v>24</v>
      </c>
      <c r="B32" s="475"/>
      <c r="C32" s="472"/>
      <c r="D32" s="473"/>
      <c r="E32" s="473"/>
      <c r="F32" s="473"/>
      <c r="G32" s="473"/>
      <c r="H32" s="474"/>
      <c r="I32" s="459"/>
    </row>
    <row r="33" spans="1:9" ht="35.1" hidden="1" customHeight="1">
      <c r="A33" s="467">
        <f t="shared" si="0"/>
        <v>25</v>
      </c>
      <c r="B33" s="475"/>
      <c r="C33" s="472"/>
      <c r="D33" s="476"/>
      <c r="E33" s="473"/>
      <c r="F33" s="473"/>
      <c r="G33" s="473"/>
      <c r="H33" s="474"/>
      <c r="I33" s="459"/>
    </row>
    <row r="34" spans="1:9" ht="35.1" hidden="1" customHeight="1">
      <c r="A34" s="467">
        <f t="shared" si="0"/>
        <v>26</v>
      </c>
      <c r="B34" s="475"/>
      <c r="C34" s="472"/>
      <c r="D34" s="473"/>
      <c r="E34" s="473"/>
      <c r="F34" s="473"/>
      <c r="G34" s="473"/>
      <c r="H34" s="474"/>
      <c r="I34" s="459"/>
    </row>
    <row r="35" spans="1:9" ht="35.1" customHeight="1">
      <c r="A35" s="467">
        <f t="shared" si="0"/>
        <v>27</v>
      </c>
      <c r="B35" s="475" t="s">
        <v>1109</v>
      </c>
      <c r="C35" s="472">
        <v>60909</v>
      </c>
      <c r="D35" s="472"/>
      <c r="E35" s="472">
        <v>60909</v>
      </c>
      <c r="F35" s="472"/>
      <c r="G35" s="472"/>
      <c r="H35" s="474"/>
      <c r="I35" s="459"/>
    </row>
    <row r="36" spans="1:9" ht="35.1" customHeight="1">
      <c r="A36" s="467">
        <f t="shared" si="0"/>
        <v>28</v>
      </c>
      <c r="B36" s="501" t="s">
        <v>346</v>
      </c>
      <c r="C36" s="502">
        <f>SUBTOTAL(9,C26:C35)</f>
        <v>60909</v>
      </c>
      <c r="D36" s="489">
        <f>SUM(D26:D35)</f>
        <v>0</v>
      </c>
      <c r="E36" s="489">
        <f>SUM(E26:E35)</f>
        <v>60909</v>
      </c>
      <c r="F36" s="489">
        <f>SUM(F26:F35)</f>
        <v>0</v>
      </c>
      <c r="G36" s="489">
        <f>SUM(G26:G35)</f>
        <v>0</v>
      </c>
      <c r="H36" s="477"/>
      <c r="I36" s="459"/>
    </row>
    <row r="37" spans="1:9" ht="35.1" customHeight="1">
      <c r="A37" s="467">
        <f t="shared" si="0"/>
        <v>29</v>
      </c>
      <c r="B37" s="503" t="s">
        <v>347</v>
      </c>
      <c r="C37" s="478"/>
      <c r="D37" s="478"/>
      <c r="E37" s="478"/>
      <c r="F37" s="479"/>
      <c r="G37" s="480"/>
      <c r="H37" s="474"/>
      <c r="I37" s="459"/>
    </row>
    <row r="38" spans="1:9" ht="35.1" customHeight="1">
      <c r="A38" s="467">
        <f t="shared" si="0"/>
        <v>30</v>
      </c>
      <c r="B38" s="504" t="s">
        <v>348</v>
      </c>
      <c r="C38" s="481"/>
      <c r="D38" s="481"/>
      <c r="E38" s="481"/>
      <c r="F38" s="481"/>
      <c r="G38" s="481"/>
      <c r="H38" s="482"/>
      <c r="I38" s="459"/>
    </row>
    <row r="39" spans="1:9" ht="35.1" customHeight="1" thickBot="1">
      <c r="A39" s="467">
        <f t="shared" si="0"/>
        <v>31</v>
      </c>
      <c r="B39" s="505" t="s">
        <v>21</v>
      </c>
      <c r="C39" s="506">
        <f>+C36-C37-C38</f>
        <v>60909</v>
      </c>
      <c r="D39" s="506">
        <f>+D36-D37-D38</f>
        <v>0</v>
      </c>
      <c r="E39" s="506">
        <f>+E36-E37-E38</f>
        <v>60909</v>
      </c>
      <c r="F39" s="506">
        <f>+F36-F37-F38</f>
        <v>0</v>
      </c>
      <c r="G39" s="506">
        <f>+G36-G37-G38</f>
        <v>0</v>
      </c>
      <c r="H39" s="507"/>
      <c r="I39" s="459"/>
    </row>
    <row r="40" spans="1:9" ht="35.1" customHeight="1" thickTop="1">
      <c r="A40" s="467">
        <f t="shared" si="0"/>
        <v>32</v>
      </c>
      <c r="B40" s="490" t="s">
        <v>349</v>
      </c>
      <c r="C40" s="491"/>
      <c r="D40" s="493"/>
      <c r="E40" s="492"/>
      <c r="F40" s="483"/>
      <c r="G40" s="508"/>
      <c r="H40" s="483"/>
    </row>
    <row r="41" spans="1:9" ht="35.1" customHeight="1">
      <c r="A41" s="467">
        <f t="shared" si="0"/>
        <v>33</v>
      </c>
      <c r="B41" s="1607" t="s">
        <v>350</v>
      </c>
      <c r="C41" s="1608"/>
      <c r="D41" s="1608"/>
      <c r="E41" s="1608"/>
      <c r="F41" s="1608"/>
      <c r="G41" s="1608"/>
      <c r="H41" s="483"/>
    </row>
    <row r="42" spans="1:9" ht="35.1" customHeight="1">
      <c r="A42" s="467">
        <f t="shared" si="0"/>
        <v>34</v>
      </c>
      <c r="B42" s="498" t="s">
        <v>351</v>
      </c>
      <c r="C42" s="483"/>
      <c r="D42" s="490"/>
      <c r="E42" s="490"/>
      <c r="F42" s="492"/>
      <c r="G42" s="492"/>
      <c r="H42" s="483"/>
    </row>
    <row r="43" spans="1:9" ht="35.1" customHeight="1">
      <c r="A43" s="467">
        <f t="shared" si="0"/>
        <v>35</v>
      </c>
      <c r="B43" s="498" t="s">
        <v>352</v>
      </c>
      <c r="C43" s="483"/>
      <c r="D43" s="490"/>
      <c r="E43" s="490"/>
      <c r="F43" s="492"/>
      <c r="G43" s="492"/>
      <c r="H43" s="483"/>
    </row>
    <row r="44" spans="1:9" ht="35.1" customHeight="1">
      <c r="A44" s="467">
        <f t="shared" si="0"/>
        <v>36</v>
      </c>
      <c r="B44" s="498" t="s">
        <v>353</v>
      </c>
      <c r="C44" s="483"/>
      <c r="D44" s="490"/>
      <c r="E44" s="490"/>
      <c r="F44" s="492"/>
      <c r="G44" s="492"/>
      <c r="H44" s="483"/>
    </row>
    <row r="45" spans="1:9" ht="35.1" customHeight="1">
      <c r="A45" s="467">
        <f t="shared" si="0"/>
        <v>37</v>
      </c>
      <c r="B45" s="1607" t="s">
        <v>762</v>
      </c>
      <c r="C45" s="1607"/>
      <c r="D45" s="1607"/>
      <c r="E45" s="1607"/>
      <c r="F45" s="1607"/>
      <c r="G45" s="1607"/>
      <c r="H45" s="484"/>
    </row>
    <row r="46" spans="1:9" ht="35.1" customHeight="1">
      <c r="A46" s="467">
        <f t="shared" si="0"/>
        <v>38</v>
      </c>
      <c r="B46" s="496"/>
      <c r="C46" s="496"/>
      <c r="D46" s="496"/>
      <c r="E46" s="496"/>
      <c r="F46" s="496"/>
      <c r="G46" s="496"/>
      <c r="H46" s="484"/>
    </row>
    <row r="47" spans="1:9" s="675" customFormat="1" ht="25.15" customHeight="1">
      <c r="A47" s="467">
        <f t="shared" si="0"/>
        <v>39</v>
      </c>
      <c r="B47" s="1600" t="str">
        <f>+B1</f>
        <v>MidAmerican Central California Transco, LLC</v>
      </c>
      <c r="C47" s="1601"/>
      <c r="D47" s="1601"/>
      <c r="E47" s="1601"/>
      <c r="F47" s="1601"/>
      <c r="G47" s="1601"/>
      <c r="H47" s="1601"/>
      <c r="I47" s="676"/>
    </row>
    <row r="48" spans="1:9" s="675" customFormat="1" ht="25.15" customHeight="1">
      <c r="A48" s="467">
        <f t="shared" si="0"/>
        <v>40</v>
      </c>
      <c r="B48" s="1600" t="s">
        <v>360</v>
      </c>
      <c r="C48" s="1600"/>
      <c r="D48" s="1600"/>
      <c r="E48" s="1600"/>
      <c r="F48" s="1600"/>
      <c r="G48" s="1600"/>
      <c r="H48" s="1600"/>
      <c r="I48" s="676"/>
    </row>
    <row r="49" spans="1:9" s="675" customFormat="1" ht="25.15" customHeight="1">
      <c r="A49" s="467">
        <f t="shared" si="0"/>
        <v>41</v>
      </c>
      <c r="B49" s="1610" t="s">
        <v>140</v>
      </c>
      <c r="C49" s="1610"/>
      <c r="D49" s="1610"/>
      <c r="E49" s="1610"/>
      <c r="F49" s="1610"/>
      <c r="G49" s="1610"/>
      <c r="H49" s="1610"/>
      <c r="I49" s="676"/>
    </row>
    <row r="50" spans="1:9" s="456" customFormat="1" ht="25.15" customHeight="1">
      <c r="A50" s="467">
        <f t="shared" si="0"/>
        <v>42</v>
      </c>
      <c r="B50" s="678"/>
      <c r="C50" s="678"/>
      <c r="D50" s="678"/>
      <c r="E50" s="678"/>
      <c r="F50" s="678"/>
      <c r="G50" s="678"/>
      <c r="H50" s="678"/>
      <c r="I50" s="461"/>
    </row>
    <row r="51" spans="1:9" s="456" customFormat="1" ht="25.15" customHeight="1">
      <c r="A51" s="467">
        <f t="shared" si="0"/>
        <v>43</v>
      </c>
      <c r="B51" s="500" t="s">
        <v>77</v>
      </c>
      <c r="C51" s="500" t="s">
        <v>78</v>
      </c>
      <c r="D51" s="500" t="s">
        <v>79</v>
      </c>
      <c r="E51" s="500" t="s">
        <v>80</v>
      </c>
      <c r="F51" s="500" t="s">
        <v>81</v>
      </c>
      <c r="G51" s="500" t="s">
        <v>82</v>
      </c>
      <c r="H51" s="500" t="s">
        <v>84</v>
      </c>
      <c r="I51" s="461"/>
    </row>
    <row r="52" spans="1:9" s="456" customFormat="1" ht="25.15" customHeight="1">
      <c r="A52" s="467">
        <f t="shared" si="0"/>
        <v>44</v>
      </c>
      <c r="B52" s="466"/>
      <c r="C52" s="500" t="s">
        <v>21</v>
      </c>
      <c r="D52" s="500" t="s">
        <v>343</v>
      </c>
      <c r="E52" s="499"/>
      <c r="F52" s="499"/>
      <c r="G52" s="499"/>
      <c r="H52" s="466"/>
      <c r="I52" s="461"/>
    </row>
    <row r="53" spans="1:9" s="456" customFormat="1" ht="25.15" customHeight="1">
      <c r="A53" s="467">
        <f t="shared" si="0"/>
        <v>45</v>
      </c>
      <c r="B53" s="490" t="s">
        <v>333</v>
      </c>
      <c r="C53" s="500"/>
      <c r="D53" s="500" t="s">
        <v>344</v>
      </c>
      <c r="E53" s="500" t="s">
        <v>26</v>
      </c>
      <c r="F53" s="500" t="s">
        <v>331</v>
      </c>
      <c r="G53" s="500" t="s">
        <v>326</v>
      </c>
      <c r="H53" s="466"/>
      <c r="I53" s="461"/>
    </row>
    <row r="54" spans="1:9" s="456" customFormat="1" ht="25.15" customHeight="1">
      <c r="A54" s="467">
        <f t="shared" si="0"/>
        <v>46</v>
      </c>
      <c r="B54" s="498"/>
      <c r="C54" s="500"/>
      <c r="D54" s="500" t="s">
        <v>332</v>
      </c>
      <c r="E54" s="500" t="s">
        <v>332</v>
      </c>
      <c r="F54" s="500" t="s">
        <v>332</v>
      </c>
      <c r="G54" s="500" t="s">
        <v>332</v>
      </c>
      <c r="H54" s="500" t="s">
        <v>345</v>
      </c>
      <c r="I54" s="461"/>
    </row>
    <row r="55" spans="1:9" ht="35.1" customHeight="1">
      <c r="A55" s="467">
        <f t="shared" si="0"/>
        <v>47</v>
      </c>
      <c r="B55" s="528"/>
      <c r="C55" s="472"/>
      <c r="D55" s="473"/>
      <c r="E55" s="473"/>
      <c r="F55" s="473"/>
      <c r="G55" s="473"/>
      <c r="H55" s="527"/>
      <c r="I55" s="459"/>
    </row>
    <row r="56" spans="1:9" ht="35.1" customHeight="1">
      <c r="A56" s="467">
        <f t="shared" si="0"/>
        <v>48</v>
      </c>
      <c r="B56" s="475"/>
      <c r="C56" s="472"/>
      <c r="D56" s="473"/>
      <c r="E56" s="473"/>
      <c r="F56" s="473"/>
      <c r="G56" s="473"/>
      <c r="H56" s="474"/>
      <c r="I56" s="459"/>
    </row>
    <row r="57" spans="1:9" ht="35.1" customHeight="1">
      <c r="A57" s="467">
        <f t="shared" si="0"/>
        <v>49</v>
      </c>
      <c r="B57" s="475"/>
      <c r="C57" s="472"/>
      <c r="D57" s="473"/>
      <c r="E57" s="473"/>
      <c r="F57" s="473"/>
      <c r="G57" s="473"/>
      <c r="H57" s="474"/>
      <c r="I57" s="459"/>
    </row>
    <row r="58" spans="1:9" ht="35.1" customHeight="1">
      <c r="A58" s="467">
        <f t="shared" si="0"/>
        <v>50</v>
      </c>
      <c r="B58" s="475"/>
      <c r="C58" s="472"/>
      <c r="D58" s="473"/>
      <c r="E58" s="473"/>
      <c r="F58" s="473"/>
      <c r="G58" s="473"/>
      <c r="H58" s="474"/>
      <c r="I58" s="459"/>
    </row>
    <row r="59" spans="1:9" ht="35.1" customHeight="1">
      <c r="A59" s="467">
        <f t="shared" si="0"/>
        <v>51</v>
      </c>
      <c r="B59" s="475"/>
      <c r="C59" s="473"/>
      <c r="D59" s="473"/>
      <c r="E59" s="473"/>
      <c r="F59" s="473"/>
      <c r="G59" s="473"/>
      <c r="H59" s="474"/>
      <c r="I59" s="459"/>
    </row>
    <row r="60" spans="1:9" ht="35.1" customHeight="1">
      <c r="A60" s="467">
        <f t="shared" si="0"/>
        <v>52</v>
      </c>
      <c r="B60" s="475"/>
      <c r="C60" s="473"/>
      <c r="D60" s="473"/>
      <c r="E60" s="473"/>
      <c r="F60" s="473"/>
      <c r="G60" s="473"/>
      <c r="H60" s="474"/>
      <c r="I60" s="459"/>
    </row>
    <row r="61" spans="1:9" ht="35.1" customHeight="1">
      <c r="A61" s="467">
        <f t="shared" si="0"/>
        <v>53</v>
      </c>
      <c r="B61" s="486"/>
      <c r="C61" s="487"/>
      <c r="D61" s="487"/>
      <c r="E61" s="487"/>
      <c r="F61" s="487"/>
      <c r="G61" s="487"/>
      <c r="H61" s="474"/>
      <c r="I61" s="459"/>
    </row>
    <row r="62" spans="1:9" ht="35.1" customHeight="1">
      <c r="A62" s="467">
        <f t="shared" si="0"/>
        <v>54</v>
      </c>
      <c r="B62" s="488"/>
      <c r="C62" s="487"/>
      <c r="D62" s="487"/>
      <c r="E62" s="487"/>
      <c r="F62" s="487"/>
      <c r="G62" s="487"/>
      <c r="H62" s="474"/>
      <c r="I62" s="459"/>
    </row>
    <row r="63" spans="1:9" ht="35.1" customHeight="1">
      <c r="A63" s="467">
        <f t="shared" si="0"/>
        <v>55</v>
      </c>
      <c r="B63" s="488"/>
      <c r="C63" s="487"/>
      <c r="D63" s="487"/>
      <c r="E63" s="487"/>
      <c r="F63" s="487"/>
      <c r="G63" s="487"/>
      <c r="H63" s="474"/>
      <c r="I63" s="459"/>
    </row>
    <row r="64" spans="1:9" ht="35.1" customHeight="1">
      <c r="A64" s="467">
        <f t="shared" si="0"/>
        <v>56</v>
      </c>
      <c r="B64" s="509" t="s">
        <v>354</v>
      </c>
      <c r="C64" s="489">
        <f>SUBTOTAL(9,C55:C63)</f>
        <v>0</v>
      </c>
      <c r="D64" s="489">
        <f>SUM(D55:D63)</f>
        <v>0</v>
      </c>
      <c r="E64" s="489">
        <f>SUM(E55:E63)</f>
        <v>0</v>
      </c>
      <c r="F64" s="489">
        <f>SUM(F55:F63)</f>
        <v>0</v>
      </c>
      <c r="G64" s="489">
        <f>SUM(G55:G63)</f>
        <v>0</v>
      </c>
      <c r="H64" s="477"/>
      <c r="I64" s="459"/>
    </row>
    <row r="65" spans="1:9" ht="35.1" customHeight="1">
      <c r="A65" s="467">
        <f t="shared" si="0"/>
        <v>57</v>
      </c>
      <c r="B65" s="510" t="s">
        <v>347</v>
      </c>
      <c r="C65" s="478"/>
      <c r="D65" s="478"/>
      <c r="E65" s="478"/>
      <c r="F65" s="478"/>
      <c r="G65" s="478"/>
      <c r="H65" s="474"/>
      <c r="I65" s="459"/>
    </row>
    <row r="66" spans="1:9" ht="35.1" customHeight="1">
      <c r="A66" s="467">
        <f t="shared" si="0"/>
        <v>58</v>
      </c>
      <c r="B66" s="511" t="s">
        <v>348</v>
      </c>
      <c r="C66" s="481"/>
      <c r="D66" s="481"/>
      <c r="E66" s="481"/>
      <c r="F66" s="481"/>
      <c r="G66" s="481"/>
      <c r="H66" s="482"/>
      <c r="I66" s="459"/>
    </row>
    <row r="67" spans="1:9" ht="35.1" customHeight="1" thickBot="1">
      <c r="A67" s="467">
        <f t="shared" si="0"/>
        <v>59</v>
      </c>
      <c r="B67" s="505" t="s">
        <v>21</v>
      </c>
      <c r="C67" s="506">
        <f>+C64-C65-C66</f>
        <v>0</v>
      </c>
      <c r="D67" s="506">
        <f>+D64-D65-D66</f>
        <v>0</v>
      </c>
      <c r="E67" s="506">
        <f>+E64-E65-E66</f>
        <v>0</v>
      </c>
      <c r="F67" s="506">
        <f>+F64-F65-F66</f>
        <v>0</v>
      </c>
      <c r="G67" s="506">
        <f>+G64-G65-G66</f>
        <v>0</v>
      </c>
      <c r="H67" s="507"/>
      <c r="I67" s="459"/>
    </row>
    <row r="68" spans="1:9" ht="35.1" customHeight="1" thickTop="1">
      <c r="A68" s="467">
        <f t="shared" si="0"/>
        <v>60</v>
      </c>
      <c r="B68" s="485"/>
      <c r="C68" s="483"/>
      <c r="D68" s="490"/>
      <c r="E68" s="491"/>
      <c r="F68" s="492"/>
      <c r="G68" s="493"/>
      <c r="H68" s="484"/>
      <c r="I68" s="459"/>
    </row>
    <row r="69" spans="1:9" ht="35.1" customHeight="1">
      <c r="A69" s="467">
        <f t="shared" si="0"/>
        <v>61</v>
      </c>
      <c r="B69" s="490" t="s">
        <v>355</v>
      </c>
      <c r="C69" s="490"/>
      <c r="D69" s="492"/>
      <c r="E69" s="493"/>
      <c r="F69" s="483"/>
      <c r="G69" s="484"/>
      <c r="H69" s="483"/>
    </row>
    <row r="70" spans="1:9" ht="35.1" customHeight="1">
      <c r="A70" s="467">
        <f t="shared" si="0"/>
        <v>62</v>
      </c>
      <c r="B70" s="1607" t="s">
        <v>350</v>
      </c>
      <c r="C70" s="1608"/>
      <c r="D70" s="1608"/>
      <c r="E70" s="1608"/>
      <c r="F70" s="1608"/>
      <c r="G70" s="1608"/>
      <c r="H70" s="483"/>
    </row>
    <row r="71" spans="1:9" ht="35.1" customHeight="1">
      <c r="A71" s="467">
        <f t="shared" si="0"/>
        <v>63</v>
      </c>
      <c r="B71" s="498" t="s">
        <v>351</v>
      </c>
      <c r="C71" s="483"/>
      <c r="D71" s="490"/>
      <c r="E71" s="490"/>
      <c r="F71" s="492"/>
      <c r="G71" s="492"/>
      <c r="H71" s="483"/>
    </row>
    <row r="72" spans="1:9" ht="35.1" customHeight="1">
      <c r="A72" s="467">
        <f t="shared" si="0"/>
        <v>64</v>
      </c>
      <c r="B72" s="498" t="s">
        <v>352</v>
      </c>
      <c r="C72" s="483"/>
      <c r="D72" s="490"/>
      <c r="E72" s="490"/>
      <c r="F72" s="492"/>
      <c r="G72" s="492"/>
      <c r="H72" s="483"/>
    </row>
    <row r="73" spans="1:9" ht="35.1" customHeight="1">
      <c r="A73" s="467">
        <f t="shared" si="0"/>
        <v>65</v>
      </c>
      <c r="B73" s="498" t="s">
        <v>353</v>
      </c>
      <c r="C73" s="483"/>
      <c r="D73" s="490"/>
      <c r="E73" s="490"/>
      <c r="F73" s="492"/>
      <c r="G73" s="492"/>
      <c r="H73" s="483"/>
    </row>
    <row r="74" spans="1:9" ht="35.1" customHeight="1">
      <c r="A74" s="467">
        <f t="shared" si="0"/>
        <v>66</v>
      </c>
      <c r="B74" s="1607" t="s">
        <v>579</v>
      </c>
      <c r="C74" s="1607"/>
      <c r="D74" s="1607"/>
      <c r="E74" s="1607"/>
      <c r="F74" s="1607"/>
      <c r="G74" s="1607"/>
      <c r="H74" s="484"/>
    </row>
    <row r="75" spans="1:9" s="675" customFormat="1" ht="25.15" customHeight="1">
      <c r="A75" s="467">
        <f t="shared" ref="A75:A102" si="1">+A74+1</f>
        <v>67</v>
      </c>
      <c r="B75" s="1600" t="str">
        <f>+B47</f>
        <v>MidAmerican Central California Transco, LLC</v>
      </c>
      <c r="C75" s="1601"/>
      <c r="D75" s="1601"/>
      <c r="E75" s="1601"/>
      <c r="F75" s="1601"/>
      <c r="G75" s="1601"/>
      <c r="H75" s="1601"/>
      <c r="I75" s="676"/>
    </row>
    <row r="76" spans="1:9" s="675" customFormat="1" ht="25.15" customHeight="1">
      <c r="A76" s="467">
        <f t="shared" si="1"/>
        <v>68</v>
      </c>
      <c r="B76" s="1600" t="s">
        <v>360</v>
      </c>
      <c r="C76" s="1600"/>
      <c r="D76" s="1600"/>
      <c r="E76" s="1600"/>
      <c r="F76" s="1600"/>
      <c r="G76" s="1600"/>
      <c r="H76" s="1600"/>
      <c r="I76" s="676"/>
    </row>
    <row r="77" spans="1:9" s="675" customFormat="1" ht="25.15" customHeight="1">
      <c r="A77" s="467">
        <f t="shared" si="1"/>
        <v>69</v>
      </c>
      <c r="B77" s="1610" t="s">
        <v>140</v>
      </c>
      <c r="C77" s="1610"/>
      <c r="D77" s="1610"/>
      <c r="E77" s="1610"/>
      <c r="F77" s="1610"/>
      <c r="G77" s="1610"/>
      <c r="H77" s="1610"/>
      <c r="I77" s="676"/>
    </row>
    <row r="78" spans="1:9" s="456" customFormat="1" ht="25.15" customHeight="1">
      <c r="A78" s="467">
        <f t="shared" si="1"/>
        <v>70</v>
      </c>
      <c r="B78" s="498"/>
      <c r="C78" s="490"/>
      <c r="D78" s="490"/>
      <c r="E78" s="490"/>
      <c r="F78" s="490"/>
      <c r="G78" s="490"/>
      <c r="H78" s="484"/>
      <c r="I78" s="461"/>
    </row>
    <row r="79" spans="1:9" s="456" customFormat="1" ht="35.1" customHeight="1">
      <c r="A79" s="467">
        <f t="shared" si="1"/>
        <v>71</v>
      </c>
      <c r="B79" s="500" t="s">
        <v>77</v>
      </c>
      <c r="C79" s="500" t="s">
        <v>78</v>
      </c>
      <c r="D79" s="500" t="s">
        <v>79</v>
      </c>
      <c r="E79" s="500" t="s">
        <v>80</v>
      </c>
      <c r="F79" s="500" t="s">
        <v>81</v>
      </c>
      <c r="G79" s="500" t="s">
        <v>82</v>
      </c>
      <c r="H79" s="500" t="s">
        <v>84</v>
      </c>
      <c r="I79" s="461"/>
    </row>
    <row r="80" spans="1:9" s="456" customFormat="1" ht="30" customHeight="1">
      <c r="A80" s="467">
        <f t="shared" si="1"/>
        <v>72</v>
      </c>
      <c r="B80" s="490"/>
      <c r="C80" s="500" t="s">
        <v>21</v>
      </c>
      <c r="D80" s="500" t="s">
        <v>343</v>
      </c>
      <c r="E80" s="499"/>
      <c r="F80" s="499"/>
      <c r="G80" s="499"/>
      <c r="H80" s="466"/>
      <c r="I80" s="461"/>
    </row>
    <row r="81" spans="1:9" s="456" customFormat="1" ht="30" customHeight="1">
      <c r="A81" s="467">
        <f t="shared" si="1"/>
        <v>73</v>
      </c>
      <c r="B81" s="490" t="s">
        <v>362</v>
      </c>
      <c r="C81" s="500"/>
      <c r="D81" s="500" t="s">
        <v>344</v>
      </c>
      <c r="E81" s="500" t="s">
        <v>26</v>
      </c>
      <c r="F81" s="500" t="s">
        <v>331</v>
      </c>
      <c r="G81" s="500" t="s">
        <v>326</v>
      </c>
      <c r="H81" s="466"/>
      <c r="I81" s="461"/>
    </row>
    <row r="82" spans="1:9" s="456" customFormat="1" ht="30" customHeight="1">
      <c r="A82" s="467">
        <f t="shared" si="1"/>
        <v>74</v>
      </c>
      <c r="B82" s="490"/>
      <c r="C82" s="500"/>
      <c r="D82" s="500" t="s">
        <v>332</v>
      </c>
      <c r="E82" s="500" t="s">
        <v>332</v>
      </c>
      <c r="F82" s="500" t="s">
        <v>332</v>
      </c>
      <c r="G82" s="500" t="s">
        <v>332</v>
      </c>
      <c r="H82" s="466"/>
      <c r="I82" s="461"/>
    </row>
    <row r="83" spans="1:9" ht="35.1" customHeight="1">
      <c r="A83" s="467">
        <f t="shared" si="1"/>
        <v>75</v>
      </c>
      <c r="B83" s="1486" t="s">
        <v>1081</v>
      </c>
      <c r="C83" s="1522">
        <v>-276376</v>
      </c>
      <c r="D83" s="473"/>
      <c r="E83" s="1523">
        <v>-276376</v>
      </c>
      <c r="F83" s="473"/>
      <c r="G83" s="473"/>
      <c r="H83" s="474" t="s">
        <v>1082</v>
      </c>
      <c r="I83" s="459"/>
    </row>
    <row r="84" spans="1:9" ht="35.1" customHeight="1">
      <c r="A84" s="467">
        <f t="shared" si="1"/>
        <v>76</v>
      </c>
      <c r="B84" s="475" t="s">
        <v>1086</v>
      </c>
      <c r="C84" s="472">
        <v>-806285</v>
      </c>
      <c r="D84" s="473"/>
      <c r="E84" s="473">
        <v>-806285</v>
      </c>
      <c r="F84" s="473"/>
      <c r="G84" s="473"/>
      <c r="H84" s="474"/>
      <c r="I84" s="459"/>
    </row>
    <row r="85" spans="1:9" ht="35.1" customHeight="1">
      <c r="A85" s="467">
        <f t="shared" si="1"/>
        <v>77</v>
      </c>
      <c r="B85" s="475" t="s">
        <v>1099</v>
      </c>
      <c r="C85" s="472">
        <v>35528</v>
      </c>
      <c r="D85" s="473"/>
      <c r="E85" s="473">
        <v>35528</v>
      </c>
      <c r="F85" s="473"/>
      <c r="G85" s="473"/>
      <c r="H85" s="474"/>
      <c r="I85" s="459"/>
    </row>
    <row r="86" spans="1:9" ht="35.1" customHeight="1">
      <c r="A86" s="467">
        <f t="shared" si="1"/>
        <v>78</v>
      </c>
      <c r="B86" s="475"/>
      <c r="C86" s="472"/>
      <c r="D86" s="473"/>
      <c r="E86" s="473"/>
      <c r="F86" s="473"/>
      <c r="G86" s="473"/>
      <c r="H86" s="474"/>
      <c r="I86" s="459"/>
    </row>
    <row r="87" spans="1:9" ht="35.1" customHeight="1">
      <c r="A87" s="467">
        <f t="shared" si="1"/>
        <v>79</v>
      </c>
      <c r="B87" s="475"/>
      <c r="C87" s="473"/>
      <c r="D87" s="487"/>
      <c r="E87" s="473"/>
      <c r="F87" s="473"/>
      <c r="G87" s="473"/>
      <c r="H87" s="474"/>
      <c r="I87" s="459"/>
    </row>
    <row r="88" spans="1:9" ht="35.1" customHeight="1">
      <c r="A88" s="467">
        <f t="shared" si="1"/>
        <v>80</v>
      </c>
      <c r="B88" s="475"/>
      <c r="C88" s="473"/>
      <c r="D88" s="487"/>
      <c r="E88" s="473"/>
      <c r="F88" s="473"/>
      <c r="G88" s="473"/>
      <c r="H88" s="474"/>
      <c r="I88" s="459"/>
    </row>
    <row r="89" spans="1:9" ht="35.1" customHeight="1">
      <c r="A89" s="467">
        <f t="shared" si="1"/>
        <v>81</v>
      </c>
      <c r="B89" s="475"/>
      <c r="C89" s="473"/>
      <c r="D89" s="487"/>
      <c r="E89" s="473"/>
      <c r="F89" s="473"/>
      <c r="G89" s="473"/>
      <c r="H89" s="474"/>
      <c r="I89" s="459"/>
    </row>
    <row r="90" spans="1:9" ht="35.1" customHeight="1">
      <c r="A90" s="467">
        <f t="shared" si="1"/>
        <v>82</v>
      </c>
      <c r="B90" s="475"/>
      <c r="C90" s="473"/>
      <c r="D90" s="476"/>
      <c r="E90" s="473"/>
      <c r="F90" s="473"/>
      <c r="G90" s="473"/>
      <c r="H90" s="474"/>
      <c r="I90" s="459"/>
    </row>
    <row r="91" spans="1:9" ht="35.1" customHeight="1">
      <c r="A91" s="467">
        <f t="shared" si="1"/>
        <v>83</v>
      </c>
      <c r="B91" s="475"/>
      <c r="C91" s="473"/>
      <c r="D91" s="473"/>
      <c r="E91" s="473"/>
      <c r="F91" s="473"/>
      <c r="G91" s="473"/>
      <c r="H91" s="474"/>
      <c r="I91" s="459"/>
    </row>
    <row r="92" spans="1:9" ht="35.1" customHeight="1">
      <c r="A92" s="467">
        <f t="shared" si="1"/>
        <v>84</v>
      </c>
      <c r="B92" s="475"/>
      <c r="C92" s="473"/>
      <c r="D92" s="473"/>
      <c r="E92" s="473"/>
      <c r="F92" s="473"/>
      <c r="G92" s="473"/>
      <c r="H92" s="474"/>
      <c r="I92" s="459"/>
    </row>
    <row r="93" spans="1:9" ht="20.100000000000001" customHeight="1">
      <c r="A93" s="467">
        <f t="shared" si="1"/>
        <v>85</v>
      </c>
      <c r="B93" s="512" t="s">
        <v>356</v>
      </c>
      <c r="C93" s="502">
        <f>SUBTOTAL(9,C83:C92)</f>
        <v>-1047133</v>
      </c>
      <c r="D93" s="502">
        <f>SUM(D83:D92)</f>
        <v>0</v>
      </c>
      <c r="E93" s="502">
        <f>SUM(E83:E92)</f>
        <v>-1047133</v>
      </c>
      <c r="F93" s="502">
        <f>SUM(F83:F92)</f>
        <v>0</v>
      </c>
      <c r="G93" s="502">
        <f>SUM(G83:G92)</f>
        <v>0</v>
      </c>
      <c r="H93" s="474"/>
      <c r="I93" s="459"/>
    </row>
    <row r="94" spans="1:9" ht="20.100000000000001" customHeight="1">
      <c r="A94" s="467">
        <f t="shared" si="1"/>
        <v>86</v>
      </c>
      <c r="B94" s="513" t="s">
        <v>347</v>
      </c>
      <c r="C94" s="479"/>
      <c r="D94" s="479"/>
      <c r="E94" s="479"/>
      <c r="F94" s="479"/>
      <c r="G94" s="479"/>
      <c r="H94" s="474"/>
      <c r="I94" s="459"/>
    </row>
    <row r="95" spans="1:9" ht="20.100000000000001" customHeight="1">
      <c r="A95" s="467">
        <f t="shared" si="1"/>
        <v>87</v>
      </c>
      <c r="B95" s="514" t="s">
        <v>348</v>
      </c>
      <c r="C95" s="494"/>
      <c r="D95" s="494"/>
      <c r="E95" s="494"/>
      <c r="F95" s="494"/>
      <c r="G95" s="494"/>
      <c r="H95" s="482"/>
      <c r="I95" s="459"/>
    </row>
    <row r="96" spans="1:9" ht="20.100000000000001" customHeight="1" thickBot="1">
      <c r="A96" s="467">
        <f t="shared" si="1"/>
        <v>88</v>
      </c>
      <c r="B96" s="505" t="s">
        <v>21</v>
      </c>
      <c r="C96" s="515">
        <f>+C93-C94-C95</f>
        <v>-1047133</v>
      </c>
      <c r="D96" s="515">
        <f>+D93-D94-D95</f>
        <v>0</v>
      </c>
      <c r="E96" s="515">
        <f>+E93-E94-E95</f>
        <v>-1047133</v>
      </c>
      <c r="F96" s="515">
        <f>+F93-F94-F95</f>
        <v>0</v>
      </c>
      <c r="G96" s="515">
        <f>+G93-G94-G95</f>
        <v>0</v>
      </c>
      <c r="H96" s="507"/>
      <c r="I96" s="459"/>
    </row>
    <row r="97" spans="1:9" ht="35.1" customHeight="1" thickTop="1">
      <c r="A97" s="467">
        <f t="shared" si="1"/>
        <v>89</v>
      </c>
      <c r="B97" s="516" t="s">
        <v>357</v>
      </c>
      <c r="C97" s="490"/>
      <c r="D97" s="490"/>
      <c r="E97" s="492"/>
      <c r="F97" s="492"/>
      <c r="G97" s="483"/>
      <c r="H97" s="495"/>
      <c r="I97" s="459"/>
    </row>
    <row r="98" spans="1:9" ht="20.100000000000001" customHeight="1">
      <c r="A98" s="467">
        <f t="shared" si="1"/>
        <v>90</v>
      </c>
      <c r="B98" s="1607" t="s">
        <v>350</v>
      </c>
      <c r="C98" s="1608"/>
      <c r="D98" s="1608"/>
      <c r="E98" s="1608"/>
      <c r="F98" s="1608"/>
      <c r="G98" s="1608"/>
      <c r="H98" s="483"/>
    </row>
    <row r="99" spans="1:9" ht="20.100000000000001" customHeight="1">
      <c r="A99" s="467">
        <f t="shared" si="1"/>
        <v>91</v>
      </c>
      <c r="B99" s="498" t="s">
        <v>351</v>
      </c>
      <c r="C99" s="483"/>
      <c r="D99" s="490"/>
      <c r="E99" s="490"/>
      <c r="F99" s="492"/>
      <c r="G99" s="492"/>
      <c r="H99" s="483"/>
    </row>
    <row r="100" spans="1:9" ht="20.100000000000001" customHeight="1">
      <c r="A100" s="467">
        <f t="shared" si="1"/>
        <v>92</v>
      </c>
      <c r="B100" s="498" t="s">
        <v>352</v>
      </c>
      <c r="C100" s="483"/>
      <c r="D100" s="490"/>
      <c r="E100" s="490"/>
      <c r="F100" s="492"/>
      <c r="G100" s="492"/>
      <c r="H100" s="483"/>
    </row>
    <row r="101" spans="1:9" ht="20.100000000000001" customHeight="1">
      <c r="A101" s="467">
        <f t="shared" si="1"/>
        <v>93</v>
      </c>
      <c r="B101" s="498" t="s">
        <v>353</v>
      </c>
      <c r="C101" s="483"/>
      <c r="D101" s="490"/>
      <c r="E101" s="490"/>
      <c r="F101" s="492"/>
      <c r="G101" s="492"/>
      <c r="H101" s="483"/>
    </row>
    <row r="102" spans="1:9" ht="35.1" customHeight="1">
      <c r="A102" s="467">
        <f t="shared" si="1"/>
        <v>94</v>
      </c>
      <c r="B102" s="1607" t="s">
        <v>579</v>
      </c>
      <c r="C102" s="1607"/>
      <c r="D102" s="1607"/>
      <c r="E102" s="1607"/>
      <c r="F102" s="1607"/>
      <c r="G102" s="1607"/>
      <c r="H102" s="483"/>
    </row>
    <row r="103" spans="1:9" ht="15.75">
      <c r="B103" s="485"/>
      <c r="C103" s="483"/>
      <c r="D103" s="483"/>
      <c r="E103" s="483"/>
      <c r="F103" s="483"/>
      <c r="G103" s="483"/>
      <c r="H103" s="483"/>
      <c r="I103" s="459"/>
    </row>
    <row r="104" spans="1:9" ht="15.75" customHeight="1">
      <c r="B104" s="497"/>
      <c r="C104" s="497"/>
      <c r="D104" s="497"/>
      <c r="E104" s="497"/>
      <c r="F104" s="497"/>
      <c r="G104" s="497"/>
      <c r="H104" s="497"/>
      <c r="I104" s="459"/>
    </row>
    <row r="105" spans="1:9" ht="15.75">
      <c r="B105" s="1609"/>
      <c r="C105" s="1609"/>
      <c r="D105" s="1609"/>
      <c r="E105" s="1609"/>
      <c r="F105" s="1609"/>
      <c r="G105" s="1609"/>
      <c r="H105" s="1609"/>
      <c r="I105" s="460"/>
    </row>
    <row r="106" spans="1:9" ht="15.75">
      <c r="B106" s="490"/>
      <c r="C106" s="490"/>
      <c r="D106" s="490"/>
      <c r="E106" s="490"/>
      <c r="F106" s="490"/>
      <c r="G106" s="490"/>
      <c r="H106" s="490"/>
      <c r="I106" s="459"/>
    </row>
    <row r="107" spans="1:9" ht="15.75">
      <c r="B107" s="490"/>
      <c r="C107" s="490"/>
      <c r="D107" s="490"/>
      <c r="E107" s="490"/>
      <c r="F107" s="490"/>
      <c r="G107" s="490"/>
      <c r="H107" s="490"/>
      <c r="I107" s="459"/>
    </row>
    <row r="108" spans="1:9" ht="15.75" customHeight="1">
      <c r="B108" s="490"/>
      <c r="C108" s="490"/>
      <c r="D108" s="490"/>
      <c r="E108" s="490"/>
      <c r="F108" s="490"/>
      <c r="G108" s="490"/>
      <c r="H108" s="490"/>
      <c r="I108" s="459"/>
    </row>
    <row r="109" spans="1:9" ht="15.75">
      <c r="B109" s="490"/>
      <c r="C109" s="490"/>
      <c r="D109" s="517"/>
      <c r="E109" s="517"/>
      <c r="F109" s="517"/>
      <c r="G109" s="517"/>
      <c r="H109" s="517"/>
      <c r="I109" s="462"/>
    </row>
    <row r="110" spans="1:9" ht="15.75">
      <c r="B110" s="490"/>
      <c r="C110" s="490"/>
      <c r="D110" s="517"/>
      <c r="E110" s="517"/>
      <c r="F110" s="517"/>
      <c r="G110" s="517"/>
      <c r="H110" s="517"/>
      <c r="I110" s="462"/>
    </row>
    <row r="111" spans="1:9" ht="15.75">
      <c r="B111" s="498"/>
      <c r="C111" s="490"/>
      <c r="D111" s="492"/>
      <c r="E111" s="492"/>
      <c r="F111" s="490"/>
      <c r="G111" s="490"/>
      <c r="H111" s="490"/>
      <c r="I111" s="459"/>
    </row>
    <row r="112" spans="1:9" ht="15.75">
      <c r="B112" s="498"/>
      <c r="C112" s="490"/>
      <c r="D112" s="165"/>
      <c r="E112" s="165"/>
      <c r="F112" s="490"/>
      <c r="G112" s="490"/>
      <c r="H112" s="490"/>
      <c r="I112" s="459"/>
    </row>
    <row r="113" spans="2:9" ht="15.75">
      <c r="B113" s="498"/>
      <c r="C113" s="490"/>
      <c r="D113" s="165"/>
      <c r="E113" s="165"/>
      <c r="F113" s="490"/>
      <c r="G113" s="490"/>
      <c r="H113" s="490"/>
      <c r="I113" s="459"/>
    </row>
    <row r="114" spans="2:9" ht="15.75">
      <c r="B114" s="498"/>
      <c r="C114" s="490"/>
      <c r="D114" s="165"/>
      <c r="E114" s="165"/>
      <c r="F114" s="490"/>
      <c r="G114" s="490"/>
      <c r="H114" s="490"/>
      <c r="I114" s="459"/>
    </row>
    <row r="115" spans="2:9" ht="15.75">
      <c r="B115" s="498"/>
      <c r="C115" s="490"/>
      <c r="D115" s="165"/>
      <c r="E115" s="165"/>
      <c r="F115" s="490"/>
      <c r="G115" s="490"/>
      <c r="H115" s="490"/>
      <c r="I115" s="459"/>
    </row>
    <row r="116" spans="2:9" ht="15.75">
      <c r="B116" s="498"/>
      <c r="C116" s="490"/>
      <c r="D116" s="165"/>
      <c r="E116" s="165"/>
      <c r="F116" s="490"/>
      <c r="G116" s="490"/>
      <c r="H116" s="490"/>
      <c r="I116" s="459"/>
    </row>
    <row r="117" spans="2:9" ht="15.75">
      <c r="B117" s="498"/>
      <c r="C117" s="490"/>
      <c r="D117" s="165"/>
      <c r="E117" s="165"/>
      <c r="F117" s="490"/>
      <c r="G117" s="490"/>
      <c r="H117" s="490"/>
      <c r="I117" s="459"/>
    </row>
    <row r="118" spans="2:9" ht="15.75">
      <c r="B118" s="498"/>
      <c r="C118" s="490"/>
      <c r="D118" s="165"/>
      <c r="E118" s="165"/>
      <c r="F118" s="490"/>
      <c r="G118" s="490"/>
      <c r="H118" s="490"/>
      <c r="I118" s="459"/>
    </row>
    <row r="119" spans="2:9" ht="15.75">
      <c r="B119" s="498"/>
      <c r="C119" s="490"/>
      <c r="D119" s="165"/>
      <c r="E119" s="165"/>
      <c r="F119" s="490"/>
      <c r="G119" s="490"/>
      <c r="H119" s="490"/>
      <c r="I119" s="459"/>
    </row>
    <row r="120" spans="2:9" ht="15.75">
      <c r="B120" s="498"/>
      <c r="C120" s="490"/>
      <c r="D120" s="165"/>
      <c r="E120" s="165"/>
      <c r="F120" s="490"/>
      <c r="G120" s="490"/>
      <c r="H120" s="490"/>
      <c r="I120" s="459"/>
    </row>
    <row r="121" spans="2:9" ht="15.75">
      <c r="B121" s="498"/>
      <c r="C121" s="490"/>
      <c r="D121" s="165"/>
      <c r="E121" s="165"/>
      <c r="F121" s="490"/>
      <c r="G121" s="490"/>
      <c r="H121" s="490"/>
      <c r="I121" s="459"/>
    </row>
    <row r="122" spans="2:9" ht="15.75">
      <c r="B122" s="490"/>
      <c r="C122" s="490"/>
      <c r="D122" s="165"/>
      <c r="E122" s="165"/>
      <c r="F122" s="490"/>
      <c r="G122" s="490"/>
      <c r="H122" s="490"/>
      <c r="I122" s="459"/>
    </row>
    <row r="123" spans="2:9" ht="15.75">
      <c r="B123" s="498"/>
      <c r="C123" s="490"/>
      <c r="D123" s="165"/>
      <c r="E123" s="165"/>
      <c r="F123" s="490"/>
      <c r="G123" s="490"/>
      <c r="H123" s="490"/>
      <c r="I123" s="459"/>
    </row>
    <row r="124" spans="2:9" ht="15.75">
      <c r="B124" s="490"/>
      <c r="C124" s="490"/>
      <c r="D124" s="165"/>
      <c r="E124" s="165"/>
      <c r="F124" s="490"/>
      <c r="G124" s="490"/>
      <c r="H124" s="490"/>
      <c r="I124" s="459"/>
    </row>
    <row r="125" spans="2:9" ht="15.75">
      <c r="B125" s="498"/>
      <c r="C125" s="490"/>
      <c r="D125" s="490"/>
      <c r="E125" s="490"/>
      <c r="F125" s="490"/>
      <c r="G125" s="490"/>
      <c r="H125" s="490"/>
      <c r="I125" s="459"/>
    </row>
    <row r="126" spans="2:9" ht="15.75">
      <c r="B126" s="498"/>
      <c r="C126" s="490"/>
      <c r="D126" s="490"/>
      <c r="E126" s="490"/>
      <c r="F126" s="490"/>
      <c r="G126" s="490"/>
      <c r="H126" s="490"/>
    </row>
    <row r="127" spans="2:9" ht="15.75">
      <c r="B127" s="498"/>
      <c r="C127" s="490"/>
      <c r="D127" s="490"/>
      <c r="E127" s="490"/>
      <c r="F127" s="490"/>
      <c r="G127" s="490"/>
      <c r="H127" s="490"/>
    </row>
    <row r="128" spans="2:9" ht="15.75">
      <c r="B128" s="498"/>
      <c r="C128" s="490"/>
      <c r="D128" s="490"/>
      <c r="E128" s="490"/>
      <c r="F128" s="490"/>
      <c r="G128" s="490"/>
      <c r="H128" s="490"/>
    </row>
    <row r="129" spans="2:8" ht="15.75">
      <c r="B129" s="498"/>
      <c r="C129" s="490"/>
      <c r="D129" s="490"/>
      <c r="E129" s="490"/>
      <c r="F129" s="490"/>
      <c r="G129" s="490"/>
      <c r="H129" s="490"/>
    </row>
    <row r="130" spans="2:8" ht="15.75">
      <c r="B130" s="498"/>
      <c r="C130" s="490"/>
      <c r="D130" s="490"/>
      <c r="E130" s="490"/>
      <c r="F130" s="490"/>
      <c r="G130" s="490"/>
      <c r="H130" s="490"/>
    </row>
    <row r="131" spans="2:8" ht="15.75">
      <c r="B131" s="498"/>
      <c r="C131" s="490"/>
      <c r="D131" s="490"/>
      <c r="E131" s="490"/>
      <c r="F131" s="490"/>
      <c r="G131" s="490"/>
      <c r="H131" s="490"/>
    </row>
    <row r="132" spans="2:8" ht="15.75">
      <c r="B132" s="498"/>
      <c r="C132" s="490"/>
      <c r="D132" s="490"/>
      <c r="E132" s="490"/>
      <c r="F132" s="490"/>
      <c r="G132" s="490"/>
      <c r="H132" s="490"/>
    </row>
    <row r="133" spans="2:8" ht="15.75">
      <c r="B133" s="498"/>
      <c r="C133" s="490"/>
      <c r="D133" s="490"/>
      <c r="E133" s="490"/>
      <c r="F133" s="490"/>
      <c r="G133" s="490"/>
      <c r="H133" s="490"/>
    </row>
    <row r="134" spans="2:8" ht="15.75">
      <c r="B134" s="498"/>
      <c r="C134" s="490"/>
      <c r="D134" s="490"/>
      <c r="E134" s="490"/>
      <c r="F134" s="490"/>
      <c r="G134" s="490"/>
      <c r="H134" s="490"/>
    </row>
    <row r="135" spans="2:8" ht="15.75">
      <c r="B135" s="498"/>
      <c r="C135" s="490"/>
      <c r="D135" s="490"/>
      <c r="E135" s="490"/>
      <c r="F135" s="490"/>
      <c r="G135" s="490"/>
      <c r="H135" s="490"/>
    </row>
    <row r="136" spans="2:8" ht="15.75">
      <c r="B136" s="498"/>
      <c r="C136" s="490"/>
      <c r="D136" s="490"/>
      <c r="E136" s="490"/>
      <c r="F136" s="490"/>
      <c r="G136" s="490"/>
      <c r="H136" s="490"/>
    </row>
    <row r="137" spans="2:8" ht="15.75">
      <c r="B137" s="498"/>
      <c r="C137" s="490"/>
      <c r="D137" s="490"/>
      <c r="E137" s="490"/>
      <c r="F137" s="490"/>
      <c r="G137" s="490"/>
      <c r="H137" s="490"/>
    </row>
    <row r="138" spans="2:8" ht="15.75">
      <c r="B138" s="498"/>
      <c r="C138" s="490"/>
      <c r="D138" s="490"/>
      <c r="E138" s="490"/>
      <c r="F138" s="490"/>
      <c r="G138" s="490"/>
      <c r="H138" s="490"/>
    </row>
    <row r="139" spans="2:8" ht="15.75">
      <c r="B139" s="498"/>
      <c r="C139" s="490"/>
      <c r="D139" s="490"/>
      <c r="E139" s="490"/>
      <c r="F139" s="490"/>
      <c r="G139" s="490"/>
      <c r="H139" s="490"/>
    </row>
    <row r="140" spans="2:8" ht="15.75">
      <c r="B140" s="498"/>
      <c r="C140" s="490"/>
      <c r="D140" s="490"/>
      <c r="E140" s="490"/>
      <c r="F140" s="490"/>
      <c r="G140" s="490"/>
      <c r="H140" s="490"/>
    </row>
    <row r="141" spans="2:8" ht="15.75">
      <c r="B141" s="498"/>
      <c r="C141" s="490"/>
      <c r="D141" s="490"/>
      <c r="E141" s="490"/>
      <c r="F141" s="490"/>
      <c r="G141" s="490"/>
      <c r="H141" s="490"/>
    </row>
    <row r="142" spans="2:8" ht="15.75">
      <c r="B142" s="498"/>
      <c r="C142" s="490"/>
      <c r="D142" s="490"/>
      <c r="E142" s="490"/>
      <c r="F142" s="490"/>
      <c r="G142" s="490"/>
      <c r="H142" s="490"/>
    </row>
    <row r="143" spans="2:8" ht="15.75">
      <c r="B143" s="498"/>
      <c r="C143" s="490"/>
      <c r="D143" s="490"/>
      <c r="E143" s="490"/>
      <c r="F143" s="490"/>
      <c r="G143" s="490"/>
      <c r="H143" s="490"/>
    </row>
    <row r="144" spans="2:8" ht="15.75">
      <c r="B144" s="498"/>
      <c r="C144" s="490"/>
      <c r="D144" s="490"/>
      <c r="E144" s="490"/>
      <c r="F144" s="490"/>
      <c r="G144" s="490"/>
      <c r="H144" s="490"/>
    </row>
    <row r="145" spans="2:8" ht="15.75">
      <c r="B145" s="498"/>
      <c r="C145" s="490"/>
      <c r="D145" s="490"/>
      <c r="E145" s="490"/>
      <c r="F145" s="490"/>
      <c r="G145" s="490"/>
      <c r="H145" s="490"/>
    </row>
    <row r="146" spans="2:8" ht="15.75">
      <c r="B146" s="498"/>
      <c r="C146" s="490"/>
      <c r="D146" s="490"/>
      <c r="E146" s="490"/>
      <c r="F146" s="490"/>
      <c r="G146" s="490"/>
      <c r="H146" s="490"/>
    </row>
    <row r="147" spans="2:8" ht="15.75">
      <c r="B147" s="498"/>
      <c r="C147" s="490"/>
      <c r="D147" s="490"/>
      <c r="E147" s="490"/>
      <c r="F147" s="490"/>
      <c r="G147" s="490"/>
      <c r="H147" s="490"/>
    </row>
    <row r="148" spans="2:8" ht="15.75">
      <c r="B148" s="498"/>
      <c r="C148" s="490"/>
      <c r="D148" s="490"/>
      <c r="E148" s="490"/>
      <c r="F148" s="490"/>
      <c r="G148" s="490"/>
      <c r="H148" s="490"/>
    </row>
    <row r="149" spans="2:8" ht="15.75">
      <c r="B149" s="498"/>
      <c r="C149" s="490"/>
      <c r="D149" s="490"/>
      <c r="E149" s="490"/>
      <c r="F149" s="490"/>
      <c r="G149" s="490"/>
      <c r="H149" s="490"/>
    </row>
    <row r="150" spans="2:8" ht="15.75">
      <c r="B150" s="498"/>
      <c r="C150" s="490"/>
      <c r="D150" s="490"/>
      <c r="E150" s="490"/>
      <c r="F150" s="490"/>
      <c r="G150" s="490"/>
      <c r="H150" s="490"/>
    </row>
    <row r="151" spans="2:8" ht="15.75">
      <c r="B151" s="498"/>
      <c r="C151" s="490"/>
      <c r="D151" s="490"/>
      <c r="E151" s="490"/>
      <c r="F151" s="490"/>
      <c r="G151" s="490"/>
      <c r="H151" s="490"/>
    </row>
    <row r="152" spans="2:8" ht="15.75">
      <c r="B152" s="498"/>
      <c r="C152" s="490"/>
      <c r="D152" s="490"/>
      <c r="E152" s="490"/>
      <c r="F152" s="490"/>
      <c r="G152" s="490"/>
      <c r="H152" s="490"/>
    </row>
    <row r="153" spans="2:8" ht="15.75">
      <c r="B153" s="498"/>
      <c r="C153" s="490"/>
      <c r="D153" s="490"/>
      <c r="E153" s="490"/>
      <c r="F153" s="490"/>
      <c r="G153" s="490"/>
      <c r="H153" s="490"/>
    </row>
    <row r="154" spans="2:8" ht="15.75">
      <c r="B154" s="498"/>
      <c r="C154" s="490"/>
      <c r="D154" s="490"/>
      <c r="E154" s="490"/>
      <c r="F154" s="490"/>
      <c r="G154" s="490"/>
      <c r="H154" s="490"/>
    </row>
    <row r="155" spans="2:8" ht="15.75">
      <c r="B155" s="498"/>
      <c r="C155" s="490"/>
      <c r="D155" s="490"/>
      <c r="E155" s="490"/>
      <c r="F155" s="490"/>
      <c r="G155" s="490"/>
      <c r="H155" s="490"/>
    </row>
    <row r="156" spans="2:8" ht="15.75">
      <c r="B156" s="498"/>
      <c r="C156" s="490"/>
      <c r="D156" s="490"/>
      <c r="E156" s="490"/>
      <c r="F156" s="490"/>
      <c r="G156" s="490"/>
      <c r="H156" s="490"/>
    </row>
    <row r="157" spans="2:8" ht="15.75">
      <c r="B157" s="498"/>
      <c r="C157" s="490"/>
      <c r="D157" s="490"/>
      <c r="E157" s="490"/>
      <c r="F157" s="490"/>
      <c r="G157" s="490"/>
      <c r="H157" s="490"/>
    </row>
    <row r="158" spans="2:8" ht="15.75">
      <c r="B158" s="498"/>
      <c r="C158" s="490"/>
      <c r="D158" s="490"/>
      <c r="E158" s="490"/>
      <c r="F158" s="490"/>
      <c r="G158" s="490"/>
      <c r="H158" s="490"/>
    </row>
    <row r="159" spans="2:8" ht="15.75">
      <c r="B159" s="498"/>
      <c r="C159" s="490"/>
      <c r="D159" s="490"/>
      <c r="E159" s="490"/>
      <c r="F159" s="490"/>
      <c r="G159" s="490"/>
      <c r="H159" s="490"/>
    </row>
    <row r="160" spans="2:8" ht="15.75">
      <c r="B160" s="498"/>
      <c r="C160" s="490"/>
      <c r="D160" s="490"/>
      <c r="E160" s="490"/>
      <c r="F160" s="490"/>
      <c r="G160" s="490"/>
      <c r="H160" s="490"/>
    </row>
    <row r="161" spans="2:8" ht="15.75">
      <c r="B161" s="498"/>
      <c r="C161" s="490"/>
      <c r="D161" s="490"/>
      <c r="E161" s="490"/>
      <c r="F161" s="490"/>
      <c r="G161" s="490"/>
      <c r="H161" s="490"/>
    </row>
    <row r="162" spans="2:8" ht="15.75">
      <c r="B162" s="498"/>
      <c r="C162" s="490"/>
      <c r="D162" s="490"/>
      <c r="E162" s="490"/>
      <c r="F162" s="490"/>
      <c r="G162" s="490"/>
      <c r="H162" s="490"/>
    </row>
    <row r="163" spans="2:8" ht="15.75">
      <c r="B163" s="498"/>
      <c r="C163" s="490"/>
      <c r="D163" s="490"/>
      <c r="E163" s="490"/>
      <c r="F163" s="490"/>
      <c r="G163" s="490"/>
      <c r="H163" s="490"/>
    </row>
    <row r="164" spans="2:8" ht="15.75">
      <c r="B164" s="498"/>
      <c r="C164" s="490"/>
      <c r="D164" s="490"/>
      <c r="E164" s="490"/>
      <c r="F164" s="490"/>
      <c r="G164" s="490"/>
      <c r="H164" s="490"/>
    </row>
    <row r="165" spans="2:8" ht="15.75">
      <c r="B165" s="498"/>
      <c r="C165" s="490"/>
      <c r="D165" s="490"/>
      <c r="E165" s="490"/>
      <c r="F165" s="490"/>
      <c r="G165" s="490"/>
      <c r="H165" s="490"/>
    </row>
    <row r="166" spans="2:8" ht="15.75">
      <c r="B166" s="498"/>
      <c r="C166" s="490"/>
      <c r="D166" s="490"/>
      <c r="E166" s="490"/>
      <c r="F166" s="490"/>
      <c r="G166" s="490"/>
      <c r="H166" s="490"/>
    </row>
    <row r="167" spans="2:8" ht="15.75">
      <c r="B167" s="498"/>
      <c r="C167" s="490"/>
      <c r="D167" s="490"/>
      <c r="E167" s="490"/>
      <c r="F167" s="490"/>
      <c r="G167" s="490"/>
      <c r="H167" s="490"/>
    </row>
    <row r="168" spans="2:8" ht="15.75">
      <c r="B168" s="498"/>
      <c r="C168" s="490"/>
      <c r="D168" s="490"/>
      <c r="E168" s="490"/>
      <c r="F168" s="490"/>
      <c r="G168" s="490"/>
      <c r="H168" s="490"/>
    </row>
    <row r="169" spans="2:8" ht="15.75">
      <c r="B169" s="498"/>
      <c r="C169" s="490"/>
      <c r="D169" s="490"/>
      <c r="E169" s="490"/>
      <c r="F169" s="490"/>
      <c r="G169" s="490"/>
      <c r="H169" s="490"/>
    </row>
    <row r="170" spans="2:8" ht="15.75">
      <c r="B170" s="498"/>
      <c r="C170" s="490"/>
      <c r="D170" s="490"/>
      <c r="E170" s="490"/>
      <c r="F170" s="490"/>
      <c r="G170" s="490"/>
      <c r="H170" s="490"/>
    </row>
    <row r="171" spans="2:8" ht="15.75">
      <c r="B171" s="498"/>
      <c r="C171" s="490"/>
      <c r="D171" s="490"/>
      <c r="E171" s="490"/>
      <c r="F171" s="490"/>
      <c r="G171" s="490"/>
      <c r="H171" s="490"/>
    </row>
    <row r="172" spans="2:8" ht="15.75">
      <c r="B172" s="498"/>
      <c r="C172" s="490"/>
      <c r="D172" s="490"/>
      <c r="E172" s="490"/>
      <c r="F172" s="490"/>
      <c r="G172" s="490"/>
      <c r="H172" s="490"/>
    </row>
    <row r="173" spans="2:8" ht="15.75">
      <c r="B173" s="498"/>
      <c r="C173" s="490"/>
      <c r="D173" s="490"/>
      <c r="E173" s="490"/>
      <c r="F173" s="490"/>
      <c r="G173" s="490"/>
      <c r="H173" s="490"/>
    </row>
    <row r="174" spans="2:8" ht="15.75">
      <c r="B174" s="498"/>
      <c r="C174" s="490"/>
      <c r="D174" s="490"/>
      <c r="E174" s="490"/>
      <c r="F174" s="490"/>
      <c r="G174" s="490"/>
      <c r="H174" s="490"/>
    </row>
    <row r="175" spans="2:8" ht="15.75">
      <c r="B175" s="498"/>
      <c r="C175" s="490"/>
      <c r="D175" s="490"/>
      <c r="E175" s="490"/>
      <c r="F175" s="490"/>
      <c r="G175" s="490"/>
      <c r="H175" s="490"/>
    </row>
    <row r="176" spans="2:8" ht="15.75">
      <c r="B176" s="498"/>
      <c r="C176" s="490"/>
      <c r="D176" s="490"/>
      <c r="E176" s="490"/>
      <c r="F176" s="490"/>
      <c r="G176" s="490"/>
      <c r="H176" s="490"/>
    </row>
    <row r="177" spans="2:8" ht="15.75">
      <c r="B177" s="498"/>
      <c r="C177" s="490"/>
      <c r="D177" s="490"/>
      <c r="E177" s="490"/>
      <c r="F177" s="490"/>
      <c r="G177" s="490"/>
      <c r="H177" s="490"/>
    </row>
    <row r="178" spans="2:8" ht="15.75">
      <c r="B178" s="498"/>
      <c r="C178" s="490"/>
      <c r="D178" s="490"/>
      <c r="E178" s="490"/>
      <c r="F178" s="490"/>
      <c r="G178" s="490"/>
      <c r="H178" s="490"/>
    </row>
    <row r="179" spans="2:8" ht="15.75">
      <c r="B179" s="498"/>
      <c r="C179" s="490"/>
      <c r="D179" s="490"/>
      <c r="E179" s="490"/>
      <c r="F179" s="490"/>
      <c r="G179" s="490"/>
      <c r="H179" s="490"/>
    </row>
    <row r="180" spans="2:8" ht="15.75">
      <c r="B180" s="498"/>
      <c r="C180" s="490"/>
      <c r="D180" s="490"/>
      <c r="E180" s="490"/>
      <c r="F180" s="490"/>
      <c r="G180" s="490"/>
      <c r="H180" s="490"/>
    </row>
    <row r="181" spans="2:8" ht="15.75">
      <c r="B181" s="498"/>
      <c r="C181" s="490"/>
      <c r="D181" s="490"/>
      <c r="E181" s="490"/>
      <c r="F181" s="490"/>
      <c r="G181" s="490"/>
      <c r="H181" s="490"/>
    </row>
    <row r="182" spans="2:8" ht="15.75">
      <c r="B182" s="498"/>
      <c r="C182" s="490"/>
      <c r="D182" s="490"/>
      <c r="E182" s="490"/>
      <c r="F182" s="490"/>
      <c r="G182" s="490"/>
      <c r="H182" s="490"/>
    </row>
    <row r="183" spans="2:8" ht="15.75">
      <c r="B183" s="498"/>
      <c r="C183" s="490"/>
      <c r="D183" s="490"/>
      <c r="E183" s="490"/>
      <c r="F183" s="490"/>
      <c r="G183" s="490"/>
      <c r="H183" s="490"/>
    </row>
    <row r="184" spans="2:8" ht="15.75">
      <c r="B184" s="498"/>
      <c r="C184" s="490"/>
      <c r="D184" s="490"/>
      <c r="E184" s="490"/>
      <c r="F184" s="490"/>
      <c r="G184" s="490"/>
      <c r="H184" s="490"/>
    </row>
    <row r="185" spans="2:8" ht="15.75">
      <c r="B185" s="498"/>
      <c r="C185" s="490"/>
      <c r="D185" s="490"/>
      <c r="E185" s="490"/>
      <c r="F185" s="490"/>
      <c r="G185" s="490"/>
      <c r="H185" s="490"/>
    </row>
    <row r="186" spans="2:8" ht="15.75">
      <c r="B186" s="498"/>
      <c r="C186" s="490"/>
      <c r="D186" s="490"/>
      <c r="E186" s="490"/>
      <c r="F186" s="490"/>
      <c r="G186" s="490"/>
      <c r="H186" s="490"/>
    </row>
    <row r="187" spans="2:8" ht="15.75">
      <c r="B187" s="498"/>
      <c r="C187" s="490"/>
      <c r="D187" s="490"/>
      <c r="E187" s="490"/>
      <c r="F187" s="490"/>
      <c r="G187" s="490"/>
      <c r="H187" s="490"/>
    </row>
    <row r="188" spans="2:8" ht="15.75">
      <c r="B188" s="498"/>
      <c r="C188" s="490"/>
      <c r="D188" s="490"/>
      <c r="E188" s="490"/>
      <c r="F188" s="490"/>
      <c r="G188" s="490"/>
      <c r="H188" s="490"/>
    </row>
    <row r="189" spans="2:8" ht="15.75">
      <c r="B189" s="498"/>
      <c r="C189" s="490"/>
      <c r="D189" s="490"/>
      <c r="E189" s="490"/>
      <c r="F189" s="490"/>
      <c r="G189" s="490"/>
      <c r="H189" s="490"/>
    </row>
    <row r="190" spans="2:8" ht="15.75">
      <c r="B190" s="498"/>
      <c r="C190" s="490"/>
      <c r="D190" s="490"/>
      <c r="E190" s="490"/>
      <c r="F190" s="490"/>
      <c r="G190" s="490"/>
      <c r="H190" s="490"/>
    </row>
    <row r="191" spans="2:8" ht="15.75">
      <c r="B191" s="498"/>
      <c r="C191" s="490"/>
      <c r="D191" s="490"/>
      <c r="E191" s="490"/>
      <c r="F191" s="490"/>
      <c r="G191" s="490"/>
      <c r="H191" s="490"/>
    </row>
    <row r="192" spans="2:8" ht="15.75">
      <c r="B192" s="498"/>
      <c r="C192" s="490"/>
      <c r="D192" s="490"/>
      <c r="E192" s="490"/>
      <c r="F192" s="490"/>
      <c r="G192" s="490"/>
      <c r="H192" s="490"/>
    </row>
    <row r="193" spans="2:8" ht="15.75">
      <c r="B193" s="498"/>
      <c r="C193" s="490"/>
      <c r="D193" s="490"/>
      <c r="E193" s="490"/>
      <c r="F193" s="490"/>
      <c r="G193" s="490"/>
      <c r="H193" s="490"/>
    </row>
    <row r="194" spans="2:8" ht="15.75">
      <c r="B194" s="498"/>
      <c r="C194" s="490"/>
      <c r="D194" s="490"/>
      <c r="E194" s="490"/>
      <c r="F194" s="490"/>
      <c r="G194" s="490"/>
      <c r="H194" s="490"/>
    </row>
    <row r="195" spans="2:8" ht="15.75">
      <c r="B195" s="498"/>
      <c r="C195" s="490"/>
      <c r="D195" s="490"/>
      <c r="E195" s="490"/>
      <c r="F195" s="490"/>
      <c r="G195" s="490"/>
      <c r="H195" s="490"/>
    </row>
    <row r="196" spans="2:8" ht="15.75">
      <c r="B196" s="498"/>
      <c r="C196" s="490"/>
      <c r="D196" s="490"/>
      <c r="E196" s="490"/>
      <c r="F196" s="490"/>
      <c r="G196" s="490"/>
      <c r="H196" s="490"/>
    </row>
    <row r="197" spans="2:8" ht="15.75">
      <c r="B197" s="498"/>
      <c r="C197" s="490"/>
      <c r="D197" s="490"/>
      <c r="E197" s="490"/>
      <c r="F197" s="490"/>
      <c r="G197" s="490"/>
      <c r="H197" s="490"/>
    </row>
    <row r="198" spans="2:8" ht="15.75">
      <c r="B198" s="498"/>
      <c r="C198" s="490"/>
      <c r="D198" s="490"/>
      <c r="E198" s="490"/>
      <c r="F198" s="490"/>
      <c r="G198" s="490"/>
      <c r="H198" s="490"/>
    </row>
    <row r="199" spans="2:8" ht="15.75">
      <c r="B199" s="498"/>
      <c r="C199" s="490"/>
      <c r="D199" s="490"/>
      <c r="E199" s="490"/>
      <c r="F199" s="490"/>
      <c r="G199" s="490"/>
      <c r="H199" s="490"/>
    </row>
    <row r="200" spans="2:8" ht="15.75">
      <c r="B200" s="498"/>
      <c r="C200" s="490"/>
      <c r="D200" s="490"/>
      <c r="E200" s="490"/>
      <c r="F200" s="490"/>
      <c r="G200" s="490"/>
      <c r="H200" s="490"/>
    </row>
    <row r="201" spans="2:8" ht="15.75">
      <c r="B201" s="498"/>
      <c r="C201" s="490"/>
      <c r="D201" s="490"/>
      <c r="E201" s="490"/>
      <c r="F201" s="490"/>
      <c r="G201" s="490"/>
      <c r="H201" s="490"/>
    </row>
    <row r="202" spans="2:8" ht="15.75">
      <c r="B202" s="498"/>
      <c r="C202" s="490"/>
      <c r="D202" s="490"/>
      <c r="E202" s="490"/>
      <c r="F202" s="490"/>
      <c r="G202" s="490"/>
      <c r="H202" s="490"/>
    </row>
    <row r="203" spans="2:8" ht="15.75">
      <c r="B203" s="498"/>
      <c r="C203" s="490"/>
      <c r="D203" s="490"/>
      <c r="E203" s="490"/>
      <c r="F203" s="490"/>
      <c r="G203" s="490"/>
      <c r="H203" s="490"/>
    </row>
    <row r="204" spans="2:8" ht="15.75">
      <c r="B204" s="498"/>
      <c r="C204" s="490"/>
      <c r="D204" s="490"/>
      <c r="E204" s="490"/>
      <c r="F204" s="490"/>
      <c r="G204" s="490"/>
      <c r="H204" s="490"/>
    </row>
    <row r="205" spans="2:8" ht="15.75">
      <c r="B205" s="498"/>
      <c r="C205" s="490"/>
      <c r="D205" s="490"/>
      <c r="E205" s="490"/>
      <c r="F205" s="490"/>
      <c r="G205" s="490"/>
      <c r="H205" s="490"/>
    </row>
    <row r="206" spans="2:8" ht="15.75">
      <c r="B206" s="498"/>
      <c r="C206" s="490"/>
      <c r="D206" s="490"/>
      <c r="E206" s="490"/>
      <c r="F206" s="490"/>
      <c r="G206" s="490"/>
      <c r="H206" s="490"/>
    </row>
    <row r="207" spans="2:8" ht="15.75">
      <c r="B207" s="498"/>
      <c r="C207" s="490"/>
      <c r="D207" s="490"/>
      <c r="E207" s="490"/>
      <c r="F207" s="490"/>
      <c r="G207" s="490"/>
      <c r="H207" s="490"/>
    </row>
    <row r="208" spans="2:8" ht="15.75">
      <c r="B208" s="498"/>
      <c r="C208" s="490"/>
      <c r="D208" s="490"/>
      <c r="E208" s="490"/>
      <c r="F208" s="490"/>
      <c r="G208" s="490"/>
      <c r="H208" s="490"/>
    </row>
    <row r="209" spans="2:8" ht="15.75">
      <c r="B209" s="498"/>
      <c r="C209" s="490"/>
      <c r="D209" s="490"/>
      <c r="E209" s="490"/>
      <c r="F209" s="490"/>
      <c r="G209" s="490"/>
      <c r="H209" s="490"/>
    </row>
    <row r="210" spans="2:8" ht="15.75">
      <c r="B210" s="498"/>
      <c r="C210" s="490"/>
      <c r="D210" s="490"/>
      <c r="E210" s="490"/>
      <c r="F210" s="490"/>
      <c r="G210" s="490"/>
      <c r="H210" s="490"/>
    </row>
    <row r="211" spans="2:8" ht="15.75">
      <c r="B211" s="498"/>
      <c r="C211" s="490"/>
      <c r="D211" s="490"/>
      <c r="E211" s="490"/>
      <c r="F211" s="490"/>
      <c r="G211" s="490"/>
      <c r="H211" s="490"/>
    </row>
    <row r="212" spans="2:8" ht="15.75">
      <c r="B212" s="498"/>
      <c r="C212" s="490"/>
      <c r="D212" s="490"/>
      <c r="E212" s="490"/>
      <c r="F212" s="490"/>
      <c r="G212" s="490"/>
      <c r="H212" s="490"/>
    </row>
    <row r="213" spans="2:8" ht="15.75">
      <c r="B213" s="498"/>
      <c r="C213" s="490"/>
      <c r="D213" s="490"/>
      <c r="E213" s="490"/>
      <c r="F213" s="490"/>
      <c r="G213" s="490"/>
      <c r="H213" s="490"/>
    </row>
    <row r="214" spans="2:8" ht="15.75">
      <c r="B214" s="498"/>
      <c r="C214" s="490"/>
      <c r="D214" s="490"/>
      <c r="E214" s="490"/>
      <c r="F214" s="490"/>
      <c r="G214" s="490"/>
      <c r="H214" s="490"/>
    </row>
    <row r="215" spans="2:8" ht="15.75">
      <c r="B215" s="498"/>
      <c r="C215" s="490"/>
      <c r="D215" s="490"/>
      <c r="E215" s="490"/>
      <c r="F215" s="490"/>
      <c r="G215" s="490"/>
      <c r="H215" s="490"/>
    </row>
    <row r="216" spans="2:8" ht="15.75">
      <c r="B216" s="498"/>
      <c r="C216" s="490"/>
      <c r="D216" s="490"/>
      <c r="E216" s="490"/>
      <c r="F216" s="490"/>
      <c r="G216" s="490"/>
      <c r="H216" s="490"/>
    </row>
    <row r="217" spans="2:8" ht="15.75">
      <c r="B217" s="498"/>
      <c r="C217" s="490"/>
      <c r="D217" s="490"/>
      <c r="E217" s="490"/>
      <c r="F217" s="490"/>
      <c r="G217" s="490"/>
      <c r="H217" s="490"/>
    </row>
    <row r="218" spans="2:8" ht="15.75">
      <c r="B218" s="498"/>
      <c r="C218" s="490"/>
      <c r="D218" s="490"/>
      <c r="E218" s="490"/>
      <c r="F218" s="490"/>
      <c r="G218" s="490"/>
      <c r="H218" s="490"/>
    </row>
    <row r="219" spans="2:8" ht="15.75">
      <c r="B219" s="498"/>
      <c r="C219" s="490"/>
      <c r="D219" s="490"/>
      <c r="E219" s="490"/>
      <c r="F219" s="490"/>
      <c r="G219" s="490"/>
      <c r="H219" s="490"/>
    </row>
    <row r="220" spans="2:8" ht="15.75">
      <c r="B220" s="498"/>
      <c r="C220" s="490"/>
      <c r="D220" s="490"/>
      <c r="E220" s="490"/>
      <c r="F220" s="490"/>
      <c r="G220" s="490"/>
      <c r="H220" s="490"/>
    </row>
    <row r="221" spans="2:8" ht="15.75">
      <c r="B221" s="498"/>
      <c r="C221" s="490"/>
      <c r="D221" s="490"/>
      <c r="E221" s="490"/>
      <c r="F221" s="490"/>
      <c r="G221" s="490"/>
      <c r="H221" s="490"/>
    </row>
    <row r="222" spans="2:8" ht="15.75">
      <c r="B222" s="498"/>
      <c r="C222" s="490"/>
      <c r="D222" s="490"/>
      <c r="E222" s="490"/>
      <c r="F222" s="490"/>
      <c r="G222" s="490"/>
      <c r="H222" s="490"/>
    </row>
    <row r="223" spans="2:8" ht="15.75">
      <c r="B223" s="498"/>
      <c r="C223" s="490"/>
      <c r="D223" s="490"/>
      <c r="E223" s="490"/>
      <c r="F223" s="490"/>
      <c r="G223" s="490"/>
      <c r="H223" s="490"/>
    </row>
    <row r="224" spans="2:8" ht="15.75">
      <c r="B224" s="498"/>
      <c r="C224" s="490"/>
      <c r="D224" s="490"/>
      <c r="E224" s="490"/>
      <c r="F224" s="490"/>
      <c r="G224" s="490"/>
      <c r="H224" s="490"/>
    </row>
    <row r="225" spans="2:9" ht="15.75">
      <c r="B225" s="498"/>
      <c r="C225" s="490"/>
      <c r="D225" s="490"/>
      <c r="E225" s="490"/>
      <c r="F225" s="490"/>
      <c r="G225" s="490"/>
      <c r="H225" s="490"/>
    </row>
    <row r="226" spans="2:9" ht="15.75">
      <c r="B226" s="498"/>
      <c r="C226" s="490"/>
      <c r="D226" s="490"/>
      <c r="E226" s="490"/>
      <c r="F226" s="490"/>
      <c r="G226" s="490"/>
      <c r="H226" s="490"/>
    </row>
    <row r="227" spans="2:9" ht="15.75">
      <c r="B227" s="498"/>
      <c r="C227" s="490"/>
      <c r="D227" s="490"/>
      <c r="E227" s="490"/>
      <c r="F227" s="490"/>
      <c r="G227" s="490"/>
      <c r="H227" s="490"/>
    </row>
    <row r="228" spans="2:9" ht="15.75">
      <c r="B228" s="498"/>
      <c r="C228" s="490"/>
      <c r="D228" s="490"/>
      <c r="E228" s="490"/>
      <c r="F228" s="490"/>
      <c r="G228" s="490"/>
      <c r="H228" s="490"/>
      <c r="I228" s="860"/>
    </row>
    <row r="229" spans="2:9" ht="15.75">
      <c r="B229" s="498"/>
      <c r="C229" s="490"/>
      <c r="D229" s="490"/>
      <c r="E229" s="490"/>
      <c r="F229" s="490"/>
      <c r="G229" s="490"/>
      <c r="H229" s="490"/>
    </row>
    <row r="230" spans="2:9" ht="15.75">
      <c r="B230" s="498"/>
      <c r="C230" s="490"/>
      <c r="D230" s="490"/>
      <c r="E230" s="490"/>
      <c r="F230" s="490"/>
      <c r="G230" s="490"/>
      <c r="H230" s="490"/>
    </row>
    <row r="231" spans="2:9" ht="15.75">
      <c r="B231" s="498"/>
      <c r="C231" s="490"/>
      <c r="D231" s="490"/>
      <c r="E231" s="490"/>
      <c r="F231" s="490"/>
      <c r="G231" s="490"/>
      <c r="H231" s="490"/>
    </row>
    <row r="232" spans="2:9" ht="15.75">
      <c r="B232" s="498"/>
      <c r="C232" s="490"/>
      <c r="D232" s="490"/>
      <c r="E232" s="490"/>
      <c r="F232" s="490"/>
      <c r="G232" s="490"/>
      <c r="H232" s="490"/>
    </row>
    <row r="233" spans="2:9" ht="15.75">
      <c r="B233" s="498"/>
      <c r="C233" s="490"/>
      <c r="D233" s="490"/>
      <c r="E233" s="490"/>
      <c r="F233" s="490"/>
      <c r="G233" s="490"/>
      <c r="H233" s="490"/>
    </row>
    <row r="234" spans="2:9" ht="15.75">
      <c r="B234" s="498"/>
      <c r="C234" s="490"/>
      <c r="D234" s="490"/>
      <c r="E234" s="490"/>
      <c r="F234" s="490"/>
      <c r="G234" s="490"/>
      <c r="H234" s="490"/>
    </row>
    <row r="235" spans="2:9" ht="15.75">
      <c r="B235" s="498"/>
      <c r="C235" s="490"/>
      <c r="D235" s="490"/>
      <c r="E235" s="490"/>
      <c r="F235" s="490"/>
      <c r="G235" s="490"/>
      <c r="H235" s="490"/>
    </row>
    <row r="236" spans="2:9" ht="15.75">
      <c r="B236" s="498"/>
      <c r="C236" s="490"/>
      <c r="D236" s="490"/>
      <c r="E236" s="490"/>
      <c r="F236" s="490"/>
      <c r="G236" s="490"/>
      <c r="H236" s="490"/>
    </row>
    <row r="237" spans="2:9" ht="15.75">
      <c r="B237" s="498"/>
      <c r="C237" s="490"/>
      <c r="D237" s="490"/>
      <c r="E237" s="490"/>
      <c r="F237" s="490"/>
      <c r="G237" s="490"/>
      <c r="H237" s="490"/>
    </row>
    <row r="238" spans="2:9" ht="15.75">
      <c r="B238" s="498"/>
      <c r="C238" s="490"/>
      <c r="D238" s="490"/>
      <c r="E238" s="490"/>
      <c r="F238" s="490"/>
      <c r="G238" s="490"/>
      <c r="H238" s="490"/>
    </row>
    <row r="239" spans="2:9" ht="15.75">
      <c r="B239" s="498"/>
      <c r="C239" s="490"/>
      <c r="D239" s="490"/>
      <c r="E239" s="490"/>
      <c r="F239" s="490"/>
      <c r="G239" s="490"/>
      <c r="H239" s="490"/>
    </row>
    <row r="240" spans="2:9" ht="15.75">
      <c r="B240" s="498"/>
      <c r="C240" s="490"/>
      <c r="D240" s="490"/>
      <c r="E240" s="490"/>
      <c r="F240" s="490"/>
      <c r="G240" s="490"/>
      <c r="H240" s="490"/>
    </row>
    <row r="241" spans="2:8" ht="15.75">
      <c r="B241" s="498"/>
      <c r="C241" s="490"/>
      <c r="D241" s="490"/>
      <c r="E241" s="490"/>
      <c r="F241" s="490"/>
      <c r="G241" s="490"/>
      <c r="H241" s="490"/>
    </row>
    <row r="242" spans="2:8" ht="15.75">
      <c r="B242" s="498"/>
      <c r="C242" s="490"/>
      <c r="D242" s="490"/>
      <c r="E242" s="490"/>
      <c r="F242" s="490"/>
      <c r="G242" s="490"/>
      <c r="H242" s="490"/>
    </row>
    <row r="243" spans="2:8" ht="15.75">
      <c r="B243" s="498"/>
      <c r="C243" s="490"/>
      <c r="D243" s="490"/>
      <c r="E243" s="490"/>
      <c r="F243" s="490"/>
      <c r="G243" s="490"/>
      <c r="H243" s="490"/>
    </row>
    <row r="244" spans="2:8" ht="15.75">
      <c r="B244" s="498"/>
      <c r="C244" s="490"/>
      <c r="D244" s="490"/>
      <c r="E244" s="490"/>
      <c r="F244" s="490"/>
      <c r="G244" s="490"/>
      <c r="H244" s="490"/>
    </row>
    <row r="245" spans="2:8" ht="15.75">
      <c r="B245" s="498"/>
      <c r="C245" s="490"/>
      <c r="D245" s="490"/>
      <c r="E245" s="490"/>
      <c r="F245" s="490"/>
      <c r="G245" s="490"/>
      <c r="H245" s="490"/>
    </row>
    <row r="246" spans="2:8" ht="15.75">
      <c r="B246" s="498"/>
      <c r="C246" s="490"/>
      <c r="D246" s="490"/>
      <c r="E246" s="490"/>
      <c r="F246" s="490"/>
      <c r="G246" s="490"/>
      <c r="H246" s="490"/>
    </row>
    <row r="247" spans="2:8" ht="15.75">
      <c r="B247" s="498"/>
      <c r="C247" s="490"/>
      <c r="D247" s="490"/>
      <c r="E247" s="490"/>
      <c r="F247" s="490"/>
      <c r="G247" s="490"/>
      <c r="H247" s="490"/>
    </row>
    <row r="248" spans="2:8" ht="15.75">
      <c r="B248" s="498"/>
      <c r="C248" s="490"/>
      <c r="D248" s="490"/>
      <c r="E248" s="490"/>
      <c r="F248" s="490"/>
      <c r="G248" s="490"/>
      <c r="H248" s="490"/>
    </row>
    <row r="249" spans="2:8" ht="15.75">
      <c r="B249" s="498"/>
      <c r="C249" s="490"/>
      <c r="D249" s="490"/>
      <c r="E249" s="490"/>
      <c r="F249" s="490"/>
      <c r="G249" s="490"/>
      <c r="H249" s="490"/>
    </row>
    <row r="250" spans="2:8" ht="15.75">
      <c r="B250" s="498"/>
      <c r="C250" s="490"/>
      <c r="D250" s="490"/>
      <c r="E250" s="490"/>
      <c r="F250" s="490"/>
      <c r="G250" s="490"/>
      <c r="H250" s="490"/>
    </row>
    <row r="251" spans="2:8" ht="15.75">
      <c r="B251" s="498"/>
      <c r="C251" s="490"/>
      <c r="D251" s="490"/>
      <c r="E251" s="490"/>
      <c r="F251" s="490"/>
      <c r="G251" s="490"/>
      <c r="H251" s="490"/>
    </row>
    <row r="252" spans="2:8" ht="15.75">
      <c r="B252" s="498"/>
      <c r="C252" s="490"/>
      <c r="D252" s="490"/>
      <c r="E252" s="490"/>
      <c r="F252" s="490"/>
      <c r="G252" s="490"/>
      <c r="H252" s="490"/>
    </row>
    <row r="253" spans="2:8" ht="15.75">
      <c r="B253" s="498"/>
      <c r="C253" s="490"/>
      <c r="D253" s="490"/>
      <c r="E253" s="490"/>
      <c r="F253" s="490"/>
      <c r="G253" s="490"/>
      <c r="H253" s="490"/>
    </row>
    <row r="254" spans="2:8" ht="15.75">
      <c r="B254" s="498"/>
      <c r="C254" s="490"/>
      <c r="D254" s="490"/>
      <c r="E254" s="490"/>
      <c r="F254" s="490"/>
      <c r="G254" s="490"/>
      <c r="H254" s="490"/>
    </row>
    <row r="255" spans="2:8" ht="15.75">
      <c r="B255" s="498"/>
      <c r="C255" s="490"/>
      <c r="D255" s="490"/>
      <c r="E255" s="490"/>
      <c r="F255" s="490"/>
      <c r="G255" s="490"/>
      <c r="H255" s="490"/>
    </row>
    <row r="256" spans="2:8" ht="15.75">
      <c r="B256" s="498"/>
      <c r="C256" s="490"/>
      <c r="D256" s="490"/>
      <c r="E256" s="490"/>
      <c r="F256" s="490"/>
      <c r="G256" s="490"/>
      <c r="H256" s="490"/>
    </row>
    <row r="257" spans="2:8" ht="15.75">
      <c r="B257" s="498"/>
      <c r="C257" s="490"/>
      <c r="D257" s="490"/>
      <c r="E257" s="490"/>
      <c r="F257" s="490"/>
      <c r="G257" s="490"/>
      <c r="H257" s="490"/>
    </row>
    <row r="258" spans="2:8" ht="15.75">
      <c r="B258" s="498"/>
      <c r="C258" s="490"/>
      <c r="D258" s="490"/>
      <c r="E258" s="490"/>
      <c r="F258" s="490"/>
      <c r="G258" s="490"/>
      <c r="H258" s="490"/>
    </row>
    <row r="259" spans="2:8" ht="15.75">
      <c r="B259" s="498"/>
      <c r="C259" s="490"/>
      <c r="D259" s="490"/>
      <c r="E259" s="490"/>
      <c r="F259" s="490"/>
      <c r="G259" s="490"/>
      <c r="H259" s="490"/>
    </row>
    <row r="260" spans="2:8" ht="15.75">
      <c r="B260" s="498"/>
      <c r="C260" s="490"/>
      <c r="D260" s="490"/>
      <c r="E260" s="490"/>
      <c r="F260" s="490"/>
      <c r="G260" s="490"/>
      <c r="H260" s="490"/>
    </row>
    <row r="261" spans="2:8" ht="15.75">
      <c r="B261" s="498"/>
      <c r="C261" s="490"/>
      <c r="D261" s="490"/>
      <c r="E261" s="490"/>
      <c r="F261" s="490"/>
      <c r="G261" s="490"/>
      <c r="H261" s="490"/>
    </row>
    <row r="262" spans="2:8" ht="15.75">
      <c r="B262" s="498"/>
      <c r="C262" s="490"/>
      <c r="D262" s="490"/>
      <c r="E262" s="490"/>
      <c r="F262" s="490"/>
      <c r="G262" s="490"/>
      <c r="H262" s="490"/>
    </row>
    <row r="263" spans="2:8" ht="15.75">
      <c r="B263" s="498"/>
      <c r="C263" s="490"/>
      <c r="D263" s="490"/>
      <c r="E263" s="490"/>
      <c r="F263" s="490"/>
      <c r="G263" s="490"/>
      <c r="H263" s="490"/>
    </row>
    <row r="264" spans="2:8" ht="15.75">
      <c r="B264" s="498"/>
      <c r="C264" s="490"/>
      <c r="D264" s="490"/>
      <c r="E264" s="490"/>
      <c r="F264" s="490"/>
      <c r="G264" s="490"/>
      <c r="H264" s="490"/>
    </row>
    <row r="265" spans="2:8" ht="15.75">
      <c r="B265" s="498"/>
      <c r="C265" s="490"/>
      <c r="D265" s="490"/>
      <c r="E265" s="490"/>
      <c r="F265" s="490"/>
      <c r="G265" s="490"/>
      <c r="H265" s="490"/>
    </row>
    <row r="266" spans="2:8" ht="15.75">
      <c r="B266" s="498"/>
      <c r="C266" s="490"/>
      <c r="D266" s="490"/>
      <c r="E266" s="490"/>
      <c r="F266" s="490"/>
      <c r="G266" s="490"/>
      <c r="H266" s="490"/>
    </row>
    <row r="267" spans="2:8" ht="15.75">
      <c r="B267" s="498"/>
      <c r="C267" s="490"/>
      <c r="D267" s="490"/>
      <c r="E267" s="490"/>
      <c r="F267" s="490"/>
      <c r="G267" s="490"/>
      <c r="H267" s="490"/>
    </row>
    <row r="268" spans="2:8" ht="15.75">
      <c r="B268" s="498"/>
      <c r="C268" s="490"/>
      <c r="D268" s="490"/>
      <c r="E268" s="490"/>
      <c r="F268" s="490"/>
      <c r="G268" s="490"/>
      <c r="H268" s="490"/>
    </row>
    <row r="269" spans="2:8" ht="15.75">
      <c r="B269" s="498"/>
      <c r="C269" s="490"/>
      <c r="D269" s="490"/>
      <c r="E269" s="490"/>
      <c r="F269" s="490"/>
      <c r="G269" s="490"/>
      <c r="H269" s="490"/>
    </row>
    <row r="270" spans="2:8" ht="15.75">
      <c r="B270" s="498"/>
      <c r="C270" s="490"/>
      <c r="D270" s="490"/>
      <c r="E270" s="490"/>
      <c r="F270" s="490"/>
      <c r="G270" s="490"/>
      <c r="H270" s="490"/>
    </row>
    <row r="271" spans="2:8" ht="15.75">
      <c r="B271" s="498"/>
      <c r="C271" s="490"/>
      <c r="D271" s="490"/>
      <c r="E271" s="490"/>
      <c r="F271" s="490"/>
      <c r="G271" s="490"/>
      <c r="H271" s="490"/>
    </row>
    <row r="272" spans="2:8" ht="15.75">
      <c r="B272" s="498"/>
      <c r="C272" s="490"/>
      <c r="D272" s="490"/>
      <c r="E272" s="490"/>
      <c r="F272" s="490"/>
      <c r="G272" s="490"/>
      <c r="H272" s="490"/>
    </row>
    <row r="273" spans="2:8" ht="15.75">
      <c r="B273" s="498"/>
      <c r="C273" s="490"/>
      <c r="D273" s="490"/>
      <c r="E273" s="490"/>
      <c r="F273" s="490"/>
      <c r="G273" s="490"/>
      <c r="H273" s="490"/>
    </row>
    <row r="274" spans="2:8" ht="15.75">
      <c r="B274" s="498"/>
      <c r="C274" s="490"/>
      <c r="D274" s="490"/>
      <c r="E274" s="490"/>
      <c r="F274" s="490"/>
      <c r="G274" s="490"/>
      <c r="H274" s="490"/>
    </row>
    <row r="275" spans="2:8" ht="15.75">
      <c r="B275" s="498"/>
      <c r="C275" s="490"/>
      <c r="D275" s="490"/>
      <c r="E275" s="490"/>
      <c r="F275" s="490"/>
      <c r="G275" s="490"/>
      <c r="H275" s="490"/>
    </row>
    <row r="276" spans="2:8" ht="15.75">
      <c r="B276" s="498"/>
      <c r="C276" s="490"/>
      <c r="D276" s="490"/>
      <c r="E276" s="490"/>
      <c r="F276" s="490"/>
      <c r="G276" s="490"/>
      <c r="H276" s="490"/>
    </row>
    <row r="277" spans="2:8" ht="15.75">
      <c r="B277" s="498"/>
      <c r="C277" s="490"/>
      <c r="D277" s="490"/>
      <c r="E277" s="490"/>
      <c r="F277" s="490"/>
      <c r="G277" s="490"/>
      <c r="H277" s="490"/>
    </row>
    <row r="278" spans="2:8" ht="15.75">
      <c r="B278" s="498"/>
      <c r="C278" s="490"/>
      <c r="D278" s="490"/>
      <c r="E278" s="490"/>
      <c r="F278" s="490"/>
      <c r="G278" s="490"/>
      <c r="H278" s="490"/>
    </row>
    <row r="279" spans="2:8" ht="15.75">
      <c r="B279" s="498"/>
      <c r="C279" s="490"/>
      <c r="D279" s="490"/>
      <c r="E279" s="490"/>
      <c r="F279" s="490"/>
      <c r="G279" s="490"/>
      <c r="H279" s="490"/>
    </row>
    <row r="280" spans="2:8" ht="15.75">
      <c r="B280" s="498"/>
      <c r="C280" s="490"/>
      <c r="D280" s="490"/>
      <c r="E280" s="490"/>
      <c r="F280" s="490"/>
      <c r="G280" s="490"/>
      <c r="H280" s="490"/>
    </row>
    <row r="281" spans="2:8" ht="15.75">
      <c r="B281" s="498"/>
      <c r="C281" s="490"/>
      <c r="D281" s="490"/>
      <c r="E281" s="490"/>
      <c r="F281" s="490"/>
      <c r="G281" s="490"/>
      <c r="H281" s="490"/>
    </row>
    <row r="282" spans="2:8" ht="15.75">
      <c r="B282" s="498"/>
      <c r="C282" s="490"/>
      <c r="D282" s="490"/>
      <c r="E282" s="490"/>
      <c r="F282" s="490"/>
      <c r="G282" s="490"/>
      <c r="H282" s="490"/>
    </row>
    <row r="283" spans="2:8" ht="15.75">
      <c r="B283" s="498"/>
      <c r="C283" s="490"/>
      <c r="D283" s="490"/>
      <c r="E283" s="490"/>
      <c r="F283" s="490"/>
      <c r="G283" s="490"/>
      <c r="H283" s="490"/>
    </row>
    <row r="284" spans="2:8" ht="15.75">
      <c r="B284" s="498"/>
      <c r="C284" s="490"/>
      <c r="D284" s="490"/>
      <c r="E284" s="490"/>
      <c r="F284" s="490"/>
      <c r="G284" s="490"/>
      <c r="H284" s="490"/>
    </row>
    <row r="285" spans="2:8" ht="15.75">
      <c r="B285" s="498"/>
      <c r="C285" s="490"/>
      <c r="D285" s="490"/>
      <c r="E285" s="490"/>
      <c r="F285" s="490"/>
      <c r="G285" s="490"/>
      <c r="H285" s="490"/>
    </row>
    <row r="286" spans="2:8" ht="15.75">
      <c r="B286" s="498"/>
      <c r="C286" s="490"/>
      <c r="D286" s="490"/>
      <c r="E286" s="490"/>
      <c r="F286" s="490"/>
      <c r="G286" s="490"/>
      <c r="H286" s="490"/>
    </row>
    <row r="287" spans="2:8" ht="15.75">
      <c r="B287" s="498"/>
      <c r="C287" s="490"/>
      <c r="D287" s="490"/>
      <c r="E287" s="490"/>
      <c r="F287" s="490"/>
      <c r="G287" s="490"/>
      <c r="H287" s="490"/>
    </row>
    <row r="288" spans="2:8" ht="15.75">
      <c r="B288" s="498"/>
      <c r="C288" s="490"/>
      <c r="D288" s="490"/>
      <c r="E288" s="490"/>
      <c r="F288" s="490"/>
      <c r="G288" s="490"/>
      <c r="H288" s="490"/>
    </row>
    <row r="289" spans="2:8" ht="15.75">
      <c r="B289" s="498"/>
      <c r="C289" s="490"/>
      <c r="D289" s="490"/>
      <c r="E289" s="490"/>
      <c r="F289" s="490"/>
      <c r="G289" s="490"/>
      <c r="H289" s="490"/>
    </row>
    <row r="290" spans="2:8" ht="15.75">
      <c r="B290" s="498"/>
      <c r="C290" s="490"/>
      <c r="D290" s="490"/>
      <c r="E290" s="490"/>
      <c r="F290" s="490"/>
      <c r="G290" s="490"/>
      <c r="H290" s="490"/>
    </row>
    <row r="291" spans="2:8" ht="15.75">
      <c r="B291" s="498"/>
      <c r="C291" s="490"/>
      <c r="D291" s="490"/>
      <c r="E291" s="490"/>
      <c r="F291" s="490"/>
      <c r="G291" s="490"/>
      <c r="H291" s="490"/>
    </row>
    <row r="292" spans="2:8" ht="15.75">
      <c r="B292" s="498"/>
      <c r="C292" s="490"/>
      <c r="D292" s="490"/>
      <c r="E292" s="490"/>
      <c r="F292" s="490"/>
      <c r="G292" s="490"/>
      <c r="H292" s="490"/>
    </row>
    <row r="293" spans="2:8" ht="15.75">
      <c r="B293" s="498"/>
      <c r="C293" s="490"/>
      <c r="D293" s="490"/>
      <c r="E293" s="490"/>
      <c r="F293" s="490"/>
      <c r="G293" s="490"/>
      <c r="H293" s="490"/>
    </row>
    <row r="294" spans="2:8" ht="15.75">
      <c r="B294" s="498"/>
      <c r="C294" s="490"/>
      <c r="D294" s="490"/>
      <c r="E294" s="490"/>
      <c r="F294" s="490"/>
      <c r="G294" s="490"/>
      <c r="H294" s="490"/>
    </row>
    <row r="295" spans="2:8" ht="15.75">
      <c r="B295" s="498"/>
      <c r="C295" s="490"/>
      <c r="D295" s="490"/>
      <c r="E295" s="490"/>
      <c r="F295" s="490"/>
      <c r="G295" s="490"/>
      <c r="H295" s="490"/>
    </row>
    <row r="296" spans="2:8" ht="15.75">
      <c r="B296" s="498"/>
      <c r="C296" s="490"/>
      <c r="D296" s="490"/>
      <c r="E296" s="490"/>
      <c r="F296" s="490"/>
      <c r="G296" s="490"/>
      <c r="H296" s="490"/>
    </row>
    <row r="297" spans="2:8" ht="15.75">
      <c r="B297" s="498"/>
      <c r="C297" s="490"/>
      <c r="D297" s="490"/>
      <c r="E297" s="490"/>
      <c r="F297" s="490"/>
      <c r="G297" s="490"/>
      <c r="H297" s="490"/>
    </row>
    <row r="298" spans="2:8" ht="15.75">
      <c r="B298" s="498"/>
      <c r="C298" s="490"/>
      <c r="D298" s="490"/>
      <c r="E298" s="490"/>
      <c r="F298" s="490"/>
      <c r="G298" s="490"/>
      <c r="H298" s="490"/>
    </row>
    <row r="299" spans="2:8" ht="15.75">
      <c r="B299" s="498"/>
      <c r="C299" s="490"/>
      <c r="D299" s="490"/>
      <c r="E299" s="490"/>
      <c r="F299" s="490"/>
      <c r="G299" s="490"/>
      <c r="H299" s="490"/>
    </row>
    <row r="300" spans="2:8" ht="15.75">
      <c r="B300" s="498"/>
      <c r="C300" s="490"/>
      <c r="D300" s="490"/>
      <c r="E300" s="490"/>
      <c r="F300" s="490"/>
      <c r="G300" s="490"/>
      <c r="H300" s="490"/>
    </row>
    <row r="301" spans="2:8" ht="15.75">
      <c r="B301" s="498"/>
      <c r="C301" s="490"/>
      <c r="D301" s="490"/>
      <c r="E301" s="490"/>
      <c r="F301" s="490"/>
      <c r="G301" s="490"/>
      <c r="H301" s="490"/>
    </row>
    <row r="302" spans="2:8" ht="15.75">
      <c r="B302" s="498"/>
      <c r="C302" s="490"/>
      <c r="D302" s="490"/>
      <c r="E302" s="490"/>
      <c r="F302" s="490"/>
      <c r="G302" s="490"/>
      <c r="H302" s="490"/>
    </row>
    <row r="303" spans="2:8" ht="15.75">
      <c r="B303" s="498"/>
      <c r="C303" s="490"/>
      <c r="D303" s="490"/>
      <c r="E303" s="490"/>
      <c r="F303" s="490"/>
      <c r="G303" s="490"/>
      <c r="H303" s="490"/>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98:G98"/>
    <mergeCell ref="B102:G102"/>
    <mergeCell ref="B105:H105"/>
    <mergeCell ref="B3:H3"/>
    <mergeCell ref="B75:H75"/>
    <mergeCell ref="B48:H48"/>
    <mergeCell ref="B49:H49"/>
    <mergeCell ref="B70:G70"/>
    <mergeCell ref="B74:G74"/>
    <mergeCell ref="B76:H76"/>
    <mergeCell ref="B77:H77"/>
    <mergeCell ref="B1:H1"/>
    <mergeCell ref="B2:H2"/>
    <mergeCell ref="B41:G41"/>
    <mergeCell ref="B45:G45"/>
    <mergeCell ref="B47:H4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63"/>
  <sheetViews>
    <sheetView workbookViewId="0">
      <selection activeCell="G11" sqref="G11"/>
    </sheetView>
  </sheetViews>
  <sheetFormatPr defaultColWidth="8.77734375" defaultRowHeight="15"/>
  <cols>
    <col min="1" max="1" width="6.21875" style="1321" bestFit="1" customWidth="1"/>
    <col min="2" max="2" width="21.77734375" style="344" customWidth="1"/>
    <col min="3" max="3" width="26.21875" style="344" customWidth="1"/>
    <col min="4" max="4" width="2.21875" style="344" customWidth="1"/>
    <col min="5" max="5" width="18.77734375" style="344" customWidth="1"/>
    <col min="6" max="6" width="1.77734375" style="344" customWidth="1"/>
    <col min="7" max="7" width="18.7773437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77734375" style="344"/>
    <col min="14" max="14" width="8.44140625" style="344" bestFit="1" customWidth="1"/>
    <col min="15" max="16384" width="8.77734375" style="344"/>
  </cols>
  <sheetData>
    <row r="1" spans="1:13" s="343" customFormat="1" ht="15.75">
      <c r="A1" s="1320"/>
      <c r="B1" s="1611"/>
      <c r="C1" s="1611"/>
      <c r="D1" s="1611"/>
      <c r="E1" s="1611"/>
      <c r="F1" s="1611"/>
      <c r="G1" s="1611"/>
      <c r="H1" s="1611"/>
      <c r="I1" s="1611"/>
      <c r="J1" s="1611"/>
      <c r="K1" s="1611"/>
      <c r="L1" s="1611"/>
    </row>
    <row r="2" spans="1:13" s="343" customFormat="1" ht="18">
      <c r="A2" s="1320"/>
      <c r="B2" s="1612" t="s">
        <v>359</v>
      </c>
      <c r="C2" s="1612"/>
      <c r="D2" s="1612"/>
      <c r="E2" s="1612"/>
      <c r="F2" s="1612"/>
      <c r="G2" s="1612"/>
      <c r="H2" s="1612"/>
      <c r="I2" s="1612"/>
      <c r="J2" s="1612"/>
      <c r="K2" s="1612"/>
      <c r="L2" s="1612"/>
    </row>
    <row r="3" spans="1:13" s="343" customFormat="1" ht="18">
      <c r="A3" s="1320"/>
      <c r="B3" s="1612" t="str">
        <f>+'Appendix III'!E8</f>
        <v>MidAmerican Central California Transco, LLC</v>
      </c>
      <c r="C3" s="1612"/>
      <c r="D3" s="1612"/>
      <c r="E3" s="1612"/>
      <c r="F3" s="1612"/>
      <c r="G3" s="1612"/>
      <c r="H3" s="1612"/>
      <c r="I3" s="1612"/>
      <c r="J3" s="1612"/>
      <c r="K3" s="1612"/>
      <c r="L3" s="1612"/>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2">
        <v>1</v>
      </c>
      <c r="B6" s="439"/>
      <c r="C6" s="440"/>
      <c r="D6" s="440"/>
      <c r="E6" s="439"/>
      <c r="F6" s="371"/>
      <c r="G6" s="371"/>
      <c r="H6" s="371"/>
      <c r="I6" s="371"/>
      <c r="K6" s="371"/>
      <c r="L6" s="371"/>
      <c r="M6" s="343"/>
    </row>
    <row r="7" spans="1:13" ht="31.5">
      <c r="A7" s="1112">
        <f>+A6+1</f>
        <v>2</v>
      </c>
      <c r="B7" s="372" t="s">
        <v>1063</v>
      </c>
      <c r="C7" s="371"/>
      <c r="D7" s="371"/>
      <c r="E7" s="372" t="s">
        <v>1064</v>
      </c>
      <c r="F7" s="371"/>
      <c r="G7" s="371"/>
      <c r="H7" s="372" t="s">
        <v>597</v>
      </c>
      <c r="K7" s="353"/>
      <c r="L7" s="353"/>
      <c r="M7" s="343"/>
    </row>
    <row r="8" spans="1:13" ht="15.75">
      <c r="A8" s="1112">
        <f t="shared" ref="A8:A54" si="0">+A7+1</f>
        <v>3</v>
      </c>
      <c r="B8" s="373"/>
      <c r="C8" s="371"/>
      <c r="D8" s="371"/>
      <c r="E8" s="373"/>
      <c r="F8" s="371"/>
      <c r="G8" s="371"/>
      <c r="H8" s="374"/>
      <c r="K8" s="353"/>
      <c r="L8" s="353"/>
      <c r="M8" s="343"/>
    </row>
    <row r="9" spans="1:13" ht="16.5" thickBot="1">
      <c r="A9" s="1112">
        <f>+A8+1</f>
        <v>4</v>
      </c>
      <c r="B9" s="441">
        <v>0</v>
      </c>
      <c r="C9" s="356" t="s">
        <v>300</v>
      </c>
      <c r="D9" s="354"/>
      <c r="E9" s="441">
        <v>0</v>
      </c>
      <c r="F9" s="355"/>
      <c r="G9" s="356" t="s">
        <v>301</v>
      </c>
      <c r="H9" s="375">
        <f>IF(E9=0,0,B9-E9)</f>
        <v>0</v>
      </c>
      <c r="K9" s="353"/>
      <c r="L9" s="353"/>
      <c r="M9" s="343"/>
    </row>
    <row r="10" spans="1:13" ht="15.75">
      <c r="A10" s="1112">
        <f t="shared" si="0"/>
        <v>5</v>
      </c>
      <c r="B10" s="355"/>
      <c r="C10" s="354"/>
      <c r="D10" s="354"/>
      <c r="E10" s="355"/>
      <c r="F10" s="355"/>
      <c r="G10" s="354"/>
      <c r="H10" s="355"/>
      <c r="I10" s="353"/>
      <c r="J10" s="353"/>
      <c r="K10" s="353"/>
      <c r="L10" s="353"/>
      <c r="M10" s="343"/>
    </row>
    <row r="11" spans="1:13" ht="16.5" thickBot="1">
      <c r="A11" s="1112">
        <f t="shared" si="0"/>
        <v>6</v>
      </c>
      <c r="B11" s="357"/>
      <c r="C11" s="358"/>
      <c r="D11" s="358"/>
      <c r="E11" s="357"/>
      <c r="F11" s="357"/>
      <c r="G11" s="358"/>
      <c r="H11" s="357"/>
      <c r="I11" s="359"/>
      <c r="J11" s="359"/>
      <c r="K11" s="359"/>
      <c r="L11" s="359"/>
      <c r="M11" s="343"/>
    </row>
    <row r="12" spans="1:13" ht="23.25" customHeight="1">
      <c r="A12" s="1112">
        <f t="shared" si="0"/>
        <v>7</v>
      </c>
      <c r="B12" s="376"/>
      <c r="C12" s="354"/>
      <c r="D12" s="354"/>
      <c r="E12" s="355"/>
      <c r="F12" s="355"/>
      <c r="G12" s="354"/>
      <c r="H12" s="355"/>
      <c r="I12" s="353"/>
      <c r="J12" s="353"/>
      <c r="K12" s="353"/>
      <c r="L12" s="353"/>
      <c r="M12" s="343"/>
    </row>
    <row r="13" spans="1:13" ht="53.25" customHeight="1">
      <c r="A13" s="1112">
        <f t="shared" si="0"/>
        <v>8</v>
      </c>
      <c r="B13" s="360" t="s">
        <v>254</v>
      </c>
      <c r="C13" s="354"/>
      <c r="D13" s="354"/>
      <c r="E13" s="361" t="s">
        <v>255</v>
      </c>
      <c r="F13" s="355"/>
      <c r="G13" s="361" t="s">
        <v>1065</v>
      </c>
      <c r="H13" s="356" t="s">
        <v>256</v>
      </c>
      <c r="I13" s="362" t="s">
        <v>257</v>
      </c>
      <c r="J13" s="361" t="s">
        <v>258</v>
      </c>
      <c r="K13" s="363"/>
      <c r="L13" s="361" t="s">
        <v>259</v>
      </c>
      <c r="M13" s="343"/>
    </row>
    <row r="14" spans="1:13" ht="15.75">
      <c r="A14" s="1112">
        <f t="shared" si="0"/>
        <v>9</v>
      </c>
      <c r="B14" s="360"/>
      <c r="C14" s="354"/>
      <c r="D14" s="354"/>
      <c r="E14" s="369"/>
      <c r="F14" s="364"/>
      <c r="G14" s="443"/>
      <c r="H14" s="355"/>
      <c r="I14" s="369"/>
      <c r="J14" s="369"/>
      <c r="K14" s="369"/>
      <c r="L14" s="369"/>
      <c r="M14" s="343"/>
    </row>
    <row r="15" spans="1:13" ht="15.75">
      <c r="A15" s="1112">
        <f t="shared" si="0"/>
        <v>10</v>
      </c>
      <c r="B15" s="360"/>
      <c r="C15" s="354"/>
      <c r="D15" s="354"/>
      <c r="E15" s="369"/>
      <c r="F15" s="364"/>
      <c r="G15" s="364"/>
      <c r="H15" s="355"/>
      <c r="I15" s="369"/>
      <c r="J15" s="369"/>
      <c r="K15" s="369"/>
      <c r="L15" s="369"/>
      <c r="M15" s="343"/>
    </row>
    <row r="16" spans="1:13" ht="15.75">
      <c r="A16" s="1112">
        <f t="shared" si="0"/>
        <v>11</v>
      </c>
      <c r="B16" s="360" t="s">
        <v>456</v>
      </c>
      <c r="C16" s="354"/>
      <c r="D16" s="354"/>
      <c r="E16" s="369"/>
      <c r="F16" s="364"/>
      <c r="G16" s="364"/>
      <c r="H16" s="355"/>
      <c r="I16" s="369"/>
      <c r="J16" s="369"/>
      <c r="K16" s="369"/>
      <c r="L16" s="369"/>
      <c r="M16" s="343"/>
    </row>
    <row r="17" spans="1:13" ht="15.75">
      <c r="A17" s="1112">
        <f t="shared" si="0"/>
        <v>12</v>
      </c>
      <c r="B17" s="365" t="s">
        <v>8</v>
      </c>
      <c r="C17" s="354"/>
      <c r="D17" s="354"/>
      <c r="E17" s="354"/>
      <c r="F17" s="354"/>
      <c r="G17" s="354" t="s">
        <v>8</v>
      </c>
      <c r="H17" s="369"/>
      <c r="I17" s="369"/>
      <c r="J17" s="369"/>
      <c r="K17" s="369"/>
      <c r="L17" s="369"/>
      <c r="M17" s="343"/>
    </row>
    <row r="18" spans="1:13" ht="15.75">
      <c r="A18" s="1112">
        <f t="shared" si="0"/>
        <v>13</v>
      </c>
      <c r="B18" s="377"/>
      <c r="C18" s="354"/>
      <c r="D18" s="354"/>
      <c r="E18" s="354"/>
      <c r="F18" s="354"/>
      <c r="G18" s="369"/>
      <c r="H18" s="369"/>
      <c r="I18" s="356"/>
      <c r="J18" s="354"/>
      <c r="K18" s="354"/>
      <c r="L18" s="354"/>
      <c r="M18" s="343"/>
    </row>
    <row r="19" spans="1:13" ht="15.75">
      <c r="A19" s="1112">
        <f t="shared" si="0"/>
        <v>14</v>
      </c>
      <c r="B19" s="377" t="s">
        <v>260</v>
      </c>
      <c r="C19" s="354"/>
      <c r="D19" s="354"/>
      <c r="E19" s="354"/>
      <c r="F19" s="354"/>
      <c r="G19" s="369"/>
      <c r="H19" s="369"/>
      <c r="I19" s="356" t="s">
        <v>261</v>
      </c>
      <c r="J19" s="354"/>
      <c r="K19" s="354"/>
      <c r="L19" s="354"/>
      <c r="M19" s="343"/>
    </row>
    <row r="20" spans="1:13" ht="15.75">
      <c r="A20" s="1112">
        <f t="shared" si="0"/>
        <v>15</v>
      </c>
      <c r="B20" s="371" t="s">
        <v>156</v>
      </c>
      <c r="C20" s="438" t="s">
        <v>1077</v>
      </c>
      <c r="D20" s="371"/>
      <c r="E20" s="378">
        <f>+H9/12</f>
        <v>0</v>
      </c>
      <c r="F20" s="378"/>
      <c r="G20" s="379">
        <f>+G14</f>
        <v>0</v>
      </c>
      <c r="H20" s="378">
        <v>12</v>
      </c>
      <c r="I20" s="378">
        <f>G20*E20*H20*-1</f>
        <v>0</v>
      </c>
      <c r="J20" s="378"/>
      <c r="K20" s="378"/>
      <c r="L20" s="378">
        <f>(-I20+E20)*-1</f>
        <v>0</v>
      </c>
      <c r="M20" s="343"/>
    </row>
    <row r="21" spans="1:13" ht="15.75">
      <c r="A21" s="1112">
        <f t="shared" si="0"/>
        <v>16</v>
      </c>
      <c r="B21" s="371" t="s">
        <v>155</v>
      </c>
      <c r="C21" s="438" t="str">
        <f>+C20</f>
        <v>Year 2019</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12">
        <f t="shared" si="0"/>
        <v>17</v>
      </c>
      <c r="B22" s="371" t="s">
        <v>154</v>
      </c>
      <c r="C22" s="438" t="str">
        <f t="shared" ref="C22:C31" si="4">+C21</f>
        <v>Year 2019</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12">
        <f t="shared" si="0"/>
        <v>18</v>
      </c>
      <c r="B23" s="371" t="s">
        <v>134</v>
      </c>
      <c r="C23" s="438" t="str">
        <f t="shared" si="4"/>
        <v>Year 2019</v>
      </c>
      <c r="D23" s="371"/>
      <c r="E23" s="378">
        <f t="shared" si="5"/>
        <v>0</v>
      </c>
      <c r="F23" s="378"/>
      <c r="G23" s="379">
        <f t="shared" si="6"/>
        <v>0</v>
      </c>
      <c r="H23" s="442">
        <f t="shared" si="1"/>
        <v>9</v>
      </c>
      <c r="I23" s="378">
        <f t="shared" si="2"/>
        <v>0</v>
      </c>
      <c r="J23" s="378"/>
      <c r="K23" s="378"/>
      <c r="L23" s="378">
        <f t="shared" si="3"/>
        <v>0</v>
      </c>
      <c r="M23" s="343"/>
    </row>
    <row r="24" spans="1:13" ht="15.75">
      <c r="A24" s="1112">
        <f t="shared" si="0"/>
        <v>19</v>
      </c>
      <c r="B24" s="371" t="s">
        <v>131</v>
      </c>
      <c r="C24" s="438" t="str">
        <f t="shared" si="4"/>
        <v>Year 2019</v>
      </c>
      <c r="D24" s="371"/>
      <c r="E24" s="378">
        <f t="shared" si="5"/>
        <v>0</v>
      </c>
      <c r="F24" s="378"/>
      <c r="G24" s="379">
        <f t="shared" si="6"/>
        <v>0</v>
      </c>
      <c r="H24" s="442">
        <f t="shared" si="1"/>
        <v>8</v>
      </c>
      <c r="I24" s="378">
        <f t="shared" si="2"/>
        <v>0</v>
      </c>
      <c r="J24" s="378"/>
      <c r="K24" s="378"/>
      <c r="L24" s="378">
        <f t="shared" si="3"/>
        <v>0</v>
      </c>
      <c r="M24" s="343"/>
    </row>
    <row r="25" spans="1:13" ht="15.75">
      <c r="A25" s="1112">
        <f t="shared" si="0"/>
        <v>20</v>
      </c>
      <c r="B25" s="371" t="s">
        <v>262</v>
      </c>
      <c r="C25" s="438" t="str">
        <f t="shared" si="4"/>
        <v>Year 2019</v>
      </c>
      <c r="D25" s="371"/>
      <c r="E25" s="378">
        <f t="shared" si="5"/>
        <v>0</v>
      </c>
      <c r="F25" s="378"/>
      <c r="G25" s="379">
        <f t="shared" si="6"/>
        <v>0</v>
      </c>
      <c r="H25" s="442">
        <f t="shared" si="1"/>
        <v>7</v>
      </c>
      <c r="I25" s="378">
        <f t="shared" si="2"/>
        <v>0</v>
      </c>
      <c r="J25" s="378"/>
      <c r="K25" s="378"/>
      <c r="L25" s="378">
        <f t="shared" si="3"/>
        <v>0</v>
      </c>
      <c r="M25" s="343"/>
    </row>
    <row r="26" spans="1:13" ht="15.75">
      <c r="A26" s="1112">
        <f t="shared" si="0"/>
        <v>21</v>
      </c>
      <c r="B26" s="371" t="s">
        <v>152</v>
      </c>
      <c r="C26" s="438" t="str">
        <f t="shared" si="4"/>
        <v>Year 2019</v>
      </c>
      <c r="D26" s="371"/>
      <c r="E26" s="378">
        <f t="shared" si="5"/>
        <v>0</v>
      </c>
      <c r="F26" s="378"/>
      <c r="G26" s="379">
        <f t="shared" si="6"/>
        <v>0</v>
      </c>
      <c r="H26" s="442">
        <f t="shared" si="1"/>
        <v>6</v>
      </c>
      <c r="I26" s="378">
        <f t="shared" si="2"/>
        <v>0</v>
      </c>
      <c r="J26" s="378"/>
      <c r="K26" s="378"/>
      <c r="L26" s="378">
        <f t="shared" si="3"/>
        <v>0</v>
      </c>
      <c r="M26" s="343"/>
    </row>
    <row r="27" spans="1:13" ht="15.75">
      <c r="A27" s="1112">
        <f t="shared" si="0"/>
        <v>22</v>
      </c>
      <c r="B27" s="371" t="s">
        <v>151</v>
      </c>
      <c r="C27" s="438" t="str">
        <f t="shared" si="4"/>
        <v>Year 2019</v>
      </c>
      <c r="D27" s="371"/>
      <c r="E27" s="378">
        <f t="shared" si="5"/>
        <v>0</v>
      </c>
      <c r="F27" s="378"/>
      <c r="G27" s="379">
        <f t="shared" si="6"/>
        <v>0</v>
      </c>
      <c r="H27" s="442">
        <f t="shared" si="1"/>
        <v>5</v>
      </c>
      <c r="I27" s="378">
        <f t="shared" si="2"/>
        <v>0</v>
      </c>
      <c r="J27" s="378"/>
      <c r="K27" s="378"/>
      <c r="L27" s="378">
        <f t="shared" si="3"/>
        <v>0</v>
      </c>
      <c r="M27" s="343"/>
    </row>
    <row r="28" spans="1:13" ht="15.75">
      <c r="A28" s="1112">
        <f t="shared" si="0"/>
        <v>23</v>
      </c>
      <c r="B28" s="371" t="s">
        <v>150</v>
      </c>
      <c r="C28" s="438" t="str">
        <f t="shared" si="4"/>
        <v>Year 2019</v>
      </c>
      <c r="D28" s="371"/>
      <c r="E28" s="378">
        <f t="shared" si="5"/>
        <v>0</v>
      </c>
      <c r="F28" s="378"/>
      <c r="G28" s="379">
        <f t="shared" si="6"/>
        <v>0</v>
      </c>
      <c r="H28" s="442">
        <f t="shared" si="1"/>
        <v>4</v>
      </c>
      <c r="I28" s="378">
        <f t="shared" si="2"/>
        <v>0</v>
      </c>
      <c r="J28" s="378"/>
      <c r="K28" s="378"/>
      <c r="L28" s="378">
        <f t="shared" si="3"/>
        <v>0</v>
      </c>
      <c r="M28" s="343"/>
    </row>
    <row r="29" spans="1:13" ht="15.75">
      <c r="A29" s="1112">
        <f t="shared" si="0"/>
        <v>24</v>
      </c>
      <c r="B29" s="371" t="s">
        <v>161</v>
      </c>
      <c r="C29" s="438" t="str">
        <f t="shared" si="4"/>
        <v>Year 2019</v>
      </c>
      <c r="D29" s="371"/>
      <c r="E29" s="378">
        <f t="shared" si="5"/>
        <v>0</v>
      </c>
      <c r="F29" s="378"/>
      <c r="G29" s="379">
        <f t="shared" si="6"/>
        <v>0</v>
      </c>
      <c r="H29" s="442">
        <f t="shared" si="1"/>
        <v>3</v>
      </c>
      <c r="I29" s="378">
        <f t="shared" si="2"/>
        <v>0</v>
      </c>
      <c r="J29" s="378"/>
      <c r="K29" s="378"/>
      <c r="L29" s="378">
        <f t="shared" si="3"/>
        <v>0</v>
      </c>
      <c r="M29" s="343"/>
    </row>
    <row r="30" spans="1:13" ht="15.75">
      <c r="A30" s="1112">
        <f t="shared" si="0"/>
        <v>25</v>
      </c>
      <c r="B30" s="371" t="s">
        <v>148</v>
      </c>
      <c r="C30" s="438" t="str">
        <f t="shared" si="4"/>
        <v>Year 2019</v>
      </c>
      <c r="D30" s="371"/>
      <c r="E30" s="378">
        <f t="shared" si="5"/>
        <v>0</v>
      </c>
      <c r="F30" s="378"/>
      <c r="G30" s="379">
        <f t="shared" si="6"/>
        <v>0</v>
      </c>
      <c r="H30" s="442">
        <f t="shared" si="1"/>
        <v>2</v>
      </c>
      <c r="I30" s="378">
        <f t="shared" si="2"/>
        <v>0</v>
      </c>
      <c r="J30" s="378"/>
      <c r="K30" s="378"/>
      <c r="L30" s="378">
        <f t="shared" si="3"/>
        <v>0</v>
      </c>
      <c r="M30" s="343"/>
    </row>
    <row r="31" spans="1:13" ht="15.75">
      <c r="A31" s="1112">
        <f t="shared" si="0"/>
        <v>26</v>
      </c>
      <c r="B31" s="371" t="s">
        <v>146</v>
      </c>
      <c r="C31" s="438" t="str">
        <f t="shared" si="4"/>
        <v>Year 2019</v>
      </c>
      <c r="D31" s="371"/>
      <c r="E31" s="378">
        <f t="shared" si="5"/>
        <v>0</v>
      </c>
      <c r="F31" s="378"/>
      <c r="G31" s="379">
        <f t="shared" si="6"/>
        <v>0</v>
      </c>
      <c r="H31" s="442">
        <f t="shared" si="1"/>
        <v>1</v>
      </c>
      <c r="I31" s="366">
        <f t="shared" si="2"/>
        <v>0</v>
      </c>
      <c r="J31" s="378"/>
      <c r="K31" s="378"/>
      <c r="L31" s="378">
        <f t="shared" si="3"/>
        <v>0</v>
      </c>
      <c r="M31" s="343"/>
    </row>
    <row r="32" spans="1:13" ht="15.75">
      <c r="A32" s="1112">
        <f t="shared" si="0"/>
        <v>27</v>
      </c>
      <c r="B32" s="371"/>
      <c r="C32" s="371"/>
      <c r="D32" s="371"/>
      <c r="E32" s="378"/>
      <c r="F32" s="378"/>
      <c r="G32" s="379"/>
      <c r="H32" s="442"/>
      <c r="I32" s="378">
        <f>SUM(I20:I31)</f>
        <v>0</v>
      </c>
      <c r="J32" s="378"/>
      <c r="K32" s="378"/>
      <c r="L32" s="380">
        <f>SUM(L20:L31)</f>
        <v>0</v>
      </c>
      <c r="M32" s="343"/>
    </row>
    <row r="33" spans="1:14" ht="15.75">
      <c r="A33" s="1112">
        <f t="shared" si="0"/>
        <v>28</v>
      </c>
      <c r="B33" s="371"/>
      <c r="C33" s="371"/>
      <c r="D33" s="371"/>
      <c r="E33" s="378"/>
      <c r="F33" s="378"/>
      <c r="G33" s="379"/>
      <c r="H33" s="378"/>
      <c r="I33" s="378"/>
      <c r="J33" s="378" t="s">
        <v>8</v>
      </c>
      <c r="K33" s="378"/>
      <c r="L33" s="381"/>
      <c r="M33" s="343"/>
    </row>
    <row r="34" spans="1:14" ht="15.75">
      <c r="A34" s="1112">
        <f t="shared" si="0"/>
        <v>29</v>
      </c>
      <c r="B34" s="371"/>
      <c r="C34" s="371"/>
      <c r="D34" s="371"/>
      <c r="E34" s="355"/>
      <c r="F34" s="355"/>
      <c r="G34" s="379"/>
      <c r="H34" s="378"/>
      <c r="I34" s="382" t="s">
        <v>263</v>
      </c>
      <c r="J34" s="378"/>
      <c r="K34" s="378"/>
      <c r="L34" s="378"/>
      <c r="M34" s="343"/>
    </row>
    <row r="35" spans="1:14" ht="15.75">
      <c r="A35" s="1112">
        <f t="shared" si="0"/>
        <v>30</v>
      </c>
      <c r="B35" s="371" t="s">
        <v>264</v>
      </c>
      <c r="C35" s="438" t="s">
        <v>1079</v>
      </c>
      <c r="D35" s="371"/>
      <c r="E35" s="355">
        <f>L32</f>
        <v>0</v>
      </c>
      <c r="F35" s="355"/>
      <c r="G35" s="379">
        <f>+G31</f>
        <v>0</v>
      </c>
      <c r="H35" s="378">
        <v>12</v>
      </c>
      <c r="I35" s="378">
        <f>+H35*G35*E35</f>
        <v>0</v>
      </c>
      <c r="J35" s="378"/>
      <c r="K35" s="378"/>
      <c r="L35" s="380">
        <f>+E35+I35</f>
        <v>0</v>
      </c>
      <c r="M35" s="343"/>
    </row>
    <row r="36" spans="1:14" ht="15.75">
      <c r="A36" s="1112">
        <f t="shared" si="0"/>
        <v>31</v>
      </c>
      <c r="B36" s="371"/>
      <c r="C36" s="371"/>
      <c r="D36" s="371"/>
      <c r="E36" s="355"/>
      <c r="F36" s="355"/>
      <c r="G36" s="379"/>
      <c r="H36" s="371"/>
      <c r="I36" s="378"/>
      <c r="J36" s="378"/>
      <c r="K36" s="378"/>
      <c r="L36" s="378"/>
      <c r="M36" s="343"/>
    </row>
    <row r="37" spans="1:14" ht="15.75">
      <c r="A37" s="1112">
        <f t="shared" si="0"/>
        <v>32</v>
      </c>
      <c r="B37" s="383" t="s">
        <v>265</v>
      </c>
      <c r="C37" s="371"/>
      <c r="D37" s="371"/>
      <c r="E37" s="378"/>
      <c r="F37" s="378"/>
      <c r="G37" s="379"/>
      <c r="H37" s="371"/>
      <c r="I37" s="382" t="s">
        <v>261</v>
      </c>
      <c r="J37" s="378"/>
      <c r="K37" s="378"/>
      <c r="L37" s="378"/>
      <c r="M37" s="343"/>
    </row>
    <row r="38" spans="1:14" ht="15.75">
      <c r="A38" s="1112">
        <f t="shared" si="0"/>
        <v>33</v>
      </c>
      <c r="B38" s="371" t="s">
        <v>156</v>
      </c>
      <c r="C38" s="438" t="s">
        <v>1078</v>
      </c>
      <c r="D38" s="371"/>
      <c r="E38" s="384">
        <f>-L35</f>
        <v>0</v>
      </c>
      <c r="F38" s="355"/>
      <c r="G38" s="379">
        <f>+G31</f>
        <v>0</v>
      </c>
      <c r="H38" s="371"/>
      <c r="I38" s="378">
        <f xml:space="preserve"> -G38*E38</f>
        <v>0</v>
      </c>
      <c r="J38" s="378">
        <f>PMT(G38,12,L$35)</f>
        <v>0</v>
      </c>
      <c r="K38" s="378"/>
      <c r="L38" s="378">
        <f>(+E38+E38*G38-J38)*-1</f>
        <v>0</v>
      </c>
      <c r="M38" s="345"/>
      <c r="N38" s="346"/>
    </row>
    <row r="39" spans="1:14" ht="15.75">
      <c r="A39" s="1112">
        <f t="shared" si="0"/>
        <v>34</v>
      </c>
      <c r="B39" s="371" t="s">
        <v>155</v>
      </c>
      <c r="C39" s="438" t="str">
        <f>+C38</f>
        <v>Year 2021</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12">
        <f t="shared" si="0"/>
        <v>35</v>
      </c>
      <c r="B40" s="371" t="s">
        <v>154</v>
      </c>
      <c r="C40" s="438" t="str">
        <f>+C39</f>
        <v>Year 2021</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12">
        <f t="shared" si="0"/>
        <v>36</v>
      </c>
      <c r="B41" s="371" t="s">
        <v>134</v>
      </c>
      <c r="C41" s="438" t="str">
        <f>+C40</f>
        <v>Year 2021</v>
      </c>
      <c r="D41" s="371"/>
      <c r="E41" s="355">
        <f t="shared" si="9"/>
        <v>0</v>
      </c>
      <c r="F41" s="355"/>
      <c r="G41" s="379">
        <f t="shared" si="10"/>
        <v>0</v>
      </c>
      <c r="H41" s="371"/>
      <c r="I41" s="378">
        <f t="shared" si="7"/>
        <v>0</v>
      </c>
      <c r="J41" s="378">
        <f t="shared" si="11"/>
        <v>0</v>
      </c>
      <c r="K41" s="378"/>
      <c r="L41" s="378">
        <f t="shared" si="8"/>
        <v>0</v>
      </c>
      <c r="M41" s="345"/>
      <c r="N41" s="346"/>
    </row>
    <row r="42" spans="1:14" ht="15.75">
      <c r="A42" s="1112">
        <f t="shared" si="0"/>
        <v>37</v>
      </c>
      <c r="B42" s="371" t="s">
        <v>131</v>
      </c>
      <c r="C42" s="438" t="str">
        <f>+C41</f>
        <v>Year 2021</v>
      </c>
      <c r="D42" s="371"/>
      <c r="E42" s="355">
        <f t="shared" si="9"/>
        <v>0</v>
      </c>
      <c r="F42" s="355"/>
      <c r="G42" s="379">
        <f t="shared" si="10"/>
        <v>0</v>
      </c>
      <c r="H42" s="371"/>
      <c r="I42" s="378">
        <f t="shared" si="7"/>
        <v>0</v>
      </c>
      <c r="J42" s="378">
        <f t="shared" si="11"/>
        <v>0</v>
      </c>
      <c r="K42" s="378"/>
      <c r="L42" s="378">
        <f t="shared" si="8"/>
        <v>0</v>
      </c>
      <c r="M42" s="345"/>
      <c r="N42" s="346"/>
    </row>
    <row r="43" spans="1:14" ht="15.75">
      <c r="A43" s="1112">
        <f t="shared" si="0"/>
        <v>38</v>
      </c>
      <c r="B43" s="371" t="s">
        <v>262</v>
      </c>
      <c r="C43" s="438" t="str">
        <f>C42</f>
        <v>Year 2021</v>
      </c>
      <c r="D43" s="369"/>
      <c r="E43" s="355">
        <f t="shared" si="9"/>
        <v>0</v>
      </c>
      <c r="F43" s="355"/>
      <c r="G43" s="379">
        <f t="shared" si="10"/>
        <v>0</v>
      </c>
      <c r="H43" s="371"/>
      <c r="I43" s="378">
        <f t="shared" si="7"/>
        <v>0</v>
      </c>
      <c r="J43" s="378">
        <f t="shared" si="11"/>
        <v>0</v>
      </c>
      <c r="K43" s="378"/>
      <c r="L43" s="378">
        <f t="shared" si="8"/>
        <v>0</v>
      </c>
      <c r="M43" s="345"/>
      <c r="N43" s="346"/>
    </row>
    <row r="44" spans="1:14" ht="15.75">
      <c r="A44" s="1112">
        <f t="shared" si="0"/>
        <v>39</v>
      </c>
      <c r="B44" s="371" t="s">
        <v>152</v>
      </c>
      <c r="C44" s="438" t="str">
        <f t="shared" ref="C44:C49" si="12">+C43</f>
        <v>Year 2021</v>
      </c>
      <c r="D44" s="371"/>
      <c r="E44" s="355">
        <f t="shared" si="9"/>
        <v>0</v>
      </c>
      <c r="F44" s="355"/>
      <c r="G44" s="379">
        <f t="shared" si="10"/>
        <v>0</v>
      </c>
      <c r="H44" s="371"/>
      <c r="I44" s="378">
        <f t="shared" si="7"/>
        <v>0</v>
      </c>
      <c r="J44" s="378">
        <f t="shared" si="11"/>
        <v>0</v>
      </c>
      <c r="K44" s="378"/>
      <c r="L44" s="378">
        <f t="shared" si="8"/>
        <v>0</v>
      </c>
      <c r="M44" s="345"/>
      <c r="N44" s="346"/>
    </row>
    <row r="45" spans="1:14" ht="15.75">
      <c r="A45" s="1112">
        <f t="shared" si="0"/>
        <v>40</v>
      </c>
      <c r="B45" s="371" t="s">
        <v>151</v>
      </c>
      <c r="C45" s="438" t="str">
        <f t="shared" si="12"/>
        <v>Year 2021</v>
      </c>
      <c r="D45" s="371"/>
      <c r="E45" s="355">
        <f t="shared" si="9"/>
        <v>0</v>
      </c>
      <c r="F45" s="355"/>
      <c r="G45" s="379">
        <f t="shared" si="10"/>
        <v>0</v>
      </c>
      <c r="H45" s="371"/>
      <c r="I45" s="378">
        <f t="shared" si="7"/>
        <v>0</v>
      </c>
      <c r="J45" s="378">
        <f t="shared" si="11"/>
        <v>0</v>
      </c>
      <c r="K45" s="378"/>
      <c r="L45" s="378">
        <f t="shared" si="8"/>
        <v>0</v>
      </c>
      <c r="M45" s="345"/>
      <c r="N45" s="346"/>
    </row>
    <row r="46" spans="1:14" ht="15.75">
      <c r="A46" s="1112">
        <f t="shared" si="0"/>
        <v>41</v>
      </c>
      <c r="B46" s="371" t="s">
        <v>150</v>
      </c>
      <c r="C46" s="438" t="str">
        <f t="shared" si="12"/>
        <v>Year 2021</v>
      </c>
      <c r="D46" s="371"/>
      <c r="E46" s="355">
        <f t="shared" si="9"/>
        <v>0</v>
      </c>
      <c r="F46" s="355"/>
      <c r="G46" s="379">
        <f t="shared" si="10"/>
        <v>0</v>
      </c>
      <c r="H46" s="371"/>
      <c r="I46" s="378">
        <f t="shared" si="7"/>
        <v>0</v>
      </c>
      <c r="J46" s="378">
        <f t="shared" si="11"/>
        <v>0</v>
      </c>
      <c r="K46" s="378"/>
      <c r="L46" s="378">
        <f t="shared" si="8"/>
        <v>0</v>
      </c>
      <c r="M46" s="345"/>
      <c r="N46" s="346"/>
    </row>
    <row r="47" spans="1:14" ht="15.75">
      <c r="A47" s="1112">
        <f t="shared" si="0"/>
        <v>42</v>
      </c>
      <c r="B47" s="371" t="s">
        <v>161</v>
      </c>
      <c r="C47" s="438" t="str">
        <f t="shared" si="12"/>
        <v>Year 2021</v>
      </c>
      <c r="D47" s="371"/>
      <c r="E47" s="355">
        <f t="shared" si="9"/>
        <v>0</v>
      </c>
      <c r="F47" s="355"/>
      <c r="G47" s="379">
        <f t="shared" si="10"/>
        <v>0</v>
      </c>
      <c r="H47" s="371"/>
      <c r="I47" s="378">
        <f t="shared" si="7"/>
        <v>0</v>
      </c>
      <c r="J47" s="378">
        <f t="shared" si="11"/>
        <v>0</v>
      </c>
      <c r="K47" s="378"/>
      <c r="L47" s="378">
        <f t="shared" si="8"/>
        <v>0</v>
      </c>
      <c r="M47" s="345"/>
      <c r="N47" s="346"/>
    </row>
    <row r="48" spans="1:14" ht="15.75">
      <c r="A48" s="1112">
        <f t="shared" si="0"/>
        <v>43</v>
      </c>
      <c r="B48" s="371" t="s">
        <v>148</v>
      </c>
      <c r="C48" s="438" t="str">
        <f t="shared" si="12"/>
        <v>Year 2021</v>
      </c>
      <c r="D48" s="371"/>
      <c r="E48" s="355">
        <f t="shared" si="9"/>
        <v>0</v>
      </c>
      <c r="F48" s="355"/>
      <c r="G48" s="379">
        <f t="shared" si="10"/>
        <v>0</v>
      </c>
      <c r="H48" s="371"/>
      <c r="I48" s="378">
        <f t="shared" si="7"/>
        <v>0</v>
      </c>
      <c r="J48" s="378">
        <f t="shared" si="11"/>
        <v>0</v>
      </c>
      <c r="K48" s="378"/>
      <c r="L48" s="378">
        <f t="shared" si="8"/>
        <v>0</v>
      </c>
      <c r="M48" s="345"/>
      <c r="N48" s="346"/>
    </row>
    <row r="49" spans="1:14" ht="15.75">
      <c r="A49" s="1112">
        <f t="shared" si="0"/>
        <v>44</v>
      </c>
      <c r="B49" s="371" t="s">
        <v>146</v>
      </c>
      <c r="C49" s="438" t="str">
        <f t="shared" si="12"/>
        <v>Year 2021</v>
      </c>
      <c r="D49" s="371"/>
      <c r="E49" s="355">
        <f t="shared" si="9"/>
        <v>0</v>
      </c>
      <c r="F49" s="355"/>
      <c r="G49" s="379">
        <f t="shared" si="10"/>
        <v>0</v>
      </c>
      <c r="H49" s="371"/>
      <c r="I49" s="366">
        <f t="shared" si="7"/>
        <v>0</v>
      </c>
      <c r="J49" s="378">
        <f t="shared" si="11"/>
        <v>0</v>
      </c>
      <c r="K49" s="378"/>
      <c r="L49" s="378">
        <f t="shared" si="8"/>
        <v>0</v>
      </c>
      <c r="M49" s="345"/>
      <c r="N49" s="346"/>
    </row>
    <row r="50" spans="1:14" ht="15.75">
      <c r="A50" s="1112">
        <f t="shared" si="0"/>
        <v>45</v>
      </c>
      <c r="B50" s="371"/>
      <c r="C50" s="371"/>
      <c r="D50" s="371"/>
      <c r="E50" s="355"/>
      <c r="F50" s="355"/>
      <c r="G50" s="379"/>
      <c r="H50" s="371"/>
      <c r="I50" s="378">
        <f>SUM(I38:I49)</f>
        <v>0</v>
      </c>
      <c r="J50" s="378"/>
      <c r="K50" s="378"/>
      <c r="L50" s="378"/>
      <c r="M50" s="345"/>
      <c r="N50" s="346"/>
    </row>
    <row r="51" spans="1:14">
      <c r="A51" s="1112">
        <f t="shared" si="0"/>
        <v>46</v>
      </c>
      <c r="B51" s="381"/>
      <c r="C51" s="381"/>
      <c r="D51" s="381"/>
      <c r="E51" s="381"/>
      <c r="F51" s="381"/>
      <c r="G51" s="381"/>
      <c r="H51" s="381"/>
      <c r="I51" s="381"/>
      <c r="J51" s="381"/>
      <c r="K51" s="381"/>
      <c r="L51" s="381"/>
      <c r="M51" s="343"/>
    </row>
    <row r="52" spans="1:14" ht="15.75">
      <c r="A52" s="1112">
        <f t="shared" si="0"/>
        <v>47</v>
      </c>
      <c r="B52" s="371" t="s">
        <v>1068</v>
      </c>
      <c r="C52" s="381"/>
      <c r="D52" s="381"/>
      <c r="E52" s="381"/>
      <c r="F52" s="381"/>
      <c r="G52" s="381"/>
      <c r="H52" s="381"/>
      <c r="I52" s="381"/>
      <c r="J52" s="385">
        <f>SUM(J38:J49)*-1</f>
        <v>0</v>
      </c>
      <c r="K52" s="381"/>
      <c r="L52" s="381"/>
      <c r="M52" s="343"/>
    </row>
    <row r="53" spans="1:14" ht="15.75">
      <c r="A53" s="1112">
        <f t="shared" si="0"/>
        <v>48</v>
      </c>
      <c r="B53" s="371" t="s">
        <v>1067</v>
      </c>
      <c r="C53" s="381"/>
      <c r="D53" s="381"/>
      <c r="E53" s="381"/>
      <c r="F53" s="381"/>
      <c r="G53" s="381"/>
      <c r="H53" s="381"/>
      <c r="I53" s="381"/>
      <c r="J53" s="385">
        <f>+H9</f>
        <v>0</v>
      </c>
      <c r="K53" s="381"/>
      <c r="L53" s="381"/>
      <c r="M53" s="343"/>
    </row>
    <row r="54" spans="1:14" ht="15.75">
      <c r="A54" s="1112">
        <f t="shared" si="0"/>
        <v>49</v>
      </c>
      <c r="B54" s="371" t="s">
        <v>267</v>
      </c>
      <c r="C54" s="381"/>
      <c r="D54" s="381"/>
      <c r="E54" s="381"/>
      <c r="F54" s="381"/>
      <c r="G54" s="381"/>
      <c r="H54" s="381"/>
      <c r="I54" s="381"/>
      <c r="J54" s="385">
        <f>(J52+J53)</f>
        <v>0</v>
      </c>
      <c r="K54" s="381"/>
      <c r="L54" s="381"/>
      <c r="M54" s="343"/>
    </row>
    <row r="55" spans="1:14" ht="15.75">
      <c r="A55" s="1112"/>
      <c r="B55" s="371"/>
      <c r="C55" s="381"/>
      <c r="D55" s="381"/>
      <c r="E55" s="381"/>
      <c r="F55" s="381"/>
      <c r="G55" s="381"/>
      <c r="H55" s="381"/>
      <c r="I55" s="381"/>
      <c r="J55" s="385"/>
      <c r="K55" s="381"/>
      <c r="L55" s="381"/>
      <c r="M55" s="343"/>
    </row>
    <row r="56" spans="1:14" ht="15.75">
      <c r="B56" s="371" t="s">
        <v>642</v>
      </c>
    </row>
    <row r="57" spans="1:14" ht="15.75">
      <c r="B57" s="371" t="s">
        <v>1060</v>
      </c>
      <c r="C57" s="367"/>
      <c r="D57" s="367"/>
      <c r="E57" s="367"/>
      <c r="F57" s="367"/>
      <c r="G57" s="594"/>
      <c r="H57" s="367"/>
      <c r="I57" s="367"/>
      <c r="J57" s="595"/>
      <c r="K57" s="367"/>
      <c r="L57" s="367"/>
    </row>
    <row r="58" spans="1:14" ht="15.75">
      <c r="B58" s="371" t="s">
        <v>1062</v>
      </c>
      <c r="C58" s="367"/>
      <c r="D58" s="367"/>
      <c r="E58" s="367"/>
      <c r="F58" s="367"/>
      <c r="G58" s="367"/>
      <c r="H58" s="367"/>
      <c r="I58" s="367"/>
      <c r="J58" s="367"/>
      <c r="K58" s="367"/>
      <c r="L58" s="367"/>
    </row>
    <row r="59" spans="1:14" ht="15.75">
      <c r="B59" s="371" t="s">
        <v>1061</v>
      </c>
      <c r="G59" s="347"/>
      <c r="J59" s="348"/>
    </row>
    <row r="60" spans="1:14" ht="15.75">
      <c r="B60" s="371" t="s">
        <v>1066</v>
      </c>
      <c r="E60" s="349"/>
      <c r="G60" s="347"/>
      <c r="J60" s="348"/>
    </row>
    <row r="61" spans="1:14">
      <c r="J61" s="349"/>
    </row>
    <row r="63" spans="1:14" ht="16.5">
      <c r="B63" s="593"/>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421"/>
  <sheetViews>
    <sheetView workbookViewId="0">
      <selection activeCell="H31" sqref="H31"/>
    </sheetView>
  </sheetViews>
  <sheetFormatPr defaultColWidth="8.77734375" defaultRowHeight="12.75"/>
  <cols>
    <col min="1" max="1" width="4.21875" style="1322" customWidth="1"/>
    <col min="2" max="2" width="21.77734375" style="877" customWidth="1"/>
    <col min="3" max="3" width="2.109375" style="877" customWidth="1"/>
    <col min="4" max="4" width="19.77734375" style="877" customWidth="1"/>
    <col min="5" max="5" width="2.21875" style="877" customWidth="1"/>
    <col min="6" max="6" width="20.21875" style="877" customWidth="1"/>
    <col min="7" max="7" width="1.77734375" style="877" customWidth="1"/>
    <col min="8" max="8" width="16.21875" style="877" customWidth="1"/>
    <col min="9" max="9" width="2.21875" style="877" customWidth="1"/>
    <col min="10" max="10" width="17.21875" style="877" customWidth="1"/>
    <col min="11" max="11" width="2.44140625" style="877" customWidth="1"/>
    <col min="12" max="12" width="17.44140625" style="877" customWidth="1"/>
    <col min="13" max="13" width="2.109375" style="877" customWidth="1"/>
    <col min="14" max="14" width="15.77734375" style="877" customWidth="1"/>
    <col min="15" max="15" width="1.44140625" style="877" customWidth="1"/>
    <col min="16" max="16" width="18.109375" style="877" customWidth="1"/>
    <col min="17" max="18" width="10.77734375" style="877" bestFit="1" customWidth="1"/>
    <col min="19" max="16384" width="8.77734375" style="877"/>
  </cols>
  <sheetData>
    <row r="1" spans="1:17" ht="15" customHeight="1">
      <c r="C1" s="965"/>
      <c r="D1" s="965"/>
      <c r="E1" s="965"/>
      <c r="F1" s="965"/>
      <c r="G1" s="965"/>
      <c r="H1" s="965" t="s">
        <v>596</v>
      </c>
      <c r="I1" s="965"/>
      <c r="J1" s="965"/>
      <c r="K1" s="965" t="s">
        <v>601</v>
      </c>
      <c r="L1" s="878"/>
      <c r="M1" s="990"/>
      <c r="N1" s="1141"/>
      <c r="Q1" s="878"/>
    </row>
    <row r="2" spans="1:17" ht="15" customHeight="1">
      <c r="B2" s="1613" t="s">
        <v>594</v>
      </c>
      <c r="C2" s="1613"/>
      <c r="D2" s="1613"/>
      <c r="E2" s="1613"/>
      <c r="F2" s="1613"/>
      <c r="G2" s="1613"/>
      <c r="H2" s="1613"/>
      <c r="I2" s="1613"/>
      <c r="J2" s="1613"/>
      <c r="K2" s="1613"/>
      <c r="L2" s="1613"/>
      <c r="M2" s="1613"/>
      <c r="N2" s="1613"/>
      <c r="O2" s="1613"/>
      <c r="P2" s="1613"/>
      <c r="Q2" s="878"/>
    </row>
    <row r="3" spans="1:17" ht="15" customHeight="1">
      <c r="B3" s="1614" t="str">
        <f>+'Appendix III'!E8</f>
        <v>MidAmerican Central California Transco, LLC</v>
      </c>
      <c r="C3" s="1614"/>
      <c r="D3" s="1614"/>
      <c r="E3" s="1614"/>
      <c r="F3" s="1614"/>
      <c r="G3" s="1614"/>
      <c r="H3" s="1614"/>
      <c r="I3" s="1614"/>
      <c r="J3" s="1614"/>
      <c r="K3" s="1614"/>
      <c r="L3" s="1614"/>
      <c r="M3" s="1614"/>
      <c r="N3" s="1614"/>
      <c r="O3" s="1614"/>
      <c r="P3" s="1614"/>
      <c r="Q3" s="878"/>
    </row>
    <row r="4" spans="1:17">
      <c r="B4" s="1616"/>
      <c r="C4" s="1616"/>
      <c r="D4" s="1616"/>
      <c r="E4" s="1616"/>
      <c r="F4" s="1616"/>
      <c r="G4" s="1616"/>
      <c r="H4" s="1616"/>
      <c r="I4" s="1616"/>
      <c r="J4" s="1616"/>
      <c r="K4" s="1616"/>
      <c r="L4" s="1616"/>
      <c r="M4" s="1616"/>
      <c r="N4" s="1616"/>
      <c r="O4" s="920"/>
      <c r="P4" s="920"/>
      <c r="Q4" s="878"/>
    </row>
    <row r="5" spans="1:17" ht="28.5" customHeight="1">
      <c r="A5" s="1323">
        <v>1</v>
      </c>
      <c r="B5" s="1620" t="s">
        <v>1038</v>
      </c>
      <c r="C5" s="1620"/>
      <c r="D5" s="1620"/>
      <c r="E5" s="1620"/>
      <c r="F5" s="1620"/>
      <c r="G5" s="1620"/>
      <c r="H5" s="1620"/>
      <c r="I5" s="1620"/>
      <c r="J5" s="1620"/>
      <c r="K5" s="1620"/>
      <c r="L5" s="1620"/>
      <c r="M5" s="1620"/>
      <c r="N5" s="1620"/>
      <c r="O5" s="1620"/>
      <c r="P5" s="1620"/>
      <c r="Q5" s="878"/>
    </row>
    <row r="6" spans="1:17" ht="14.25" thickBot="1">
      <c r="A6" s="1323">
        <f>+A5+1</f>
        <v>2</v>
      </c>
      <c r="B6" s="956"/>
      <c r="C6" s="927"/>
      <c r="D6" s="927"/>
      <c r="E6" s="927"/>
      <c r="F6" s="927"/>
      <c r="G6" s="927"/>
      <c r="H6" s="927"/>
      <c r="I6" s="927"/>
      <c r="J6" s="927"/>
      <c r="K6" s="927"/>
      <c r="L6" s="927"/>
      <c r="M6" s="927"/>
      <c r="N6" s="927"/>
      <c r="O6" s="920"/>
      <c r="P6" s="920"/>
      <c r="Q6" s="878"/>
    </row>
    <row r="7" spans="1:17">
      <c r="A7" s="1323">
        <f t="shared" ref="A7:A70" si="0">+A6+1</f>
        <v>3</v>
      </c>
      <c r="B7" s="1617" t="s">
        <v>281</v>
      </c>
      <c r="C7" s="1618"/>
      <c r="D7" s="1618"/>
      <c r="E7" s="1618"/>
      <c r="F7" s="1618"/>
      <c r="G7" s="1618"/>
      <c r="H7" s="1618"/>
      <c r="I7" s="1618"/>
      <c r="J7" s="1618"/>
      <c r="K7" s="1618"/>
      <c r="L7" s="1618"/>
      <c r="M7" s="1618"/>
      <c r="N7" s="1618"/>
      <c r="O7" s="1618"/>
      <c r="P7" s="1619"/>
      <c r="Q7" s="878"/>
    </row>
    <row r="8" spans="1:17">
      <c r="A8" s="1323">
        <f t="shared" si="0"/>
        <v>4</v>
      </c>
      <c r="B8" s="955" t="s">
        <v>461</v>
      </c>
      <c r="C8" s="954"/>
      <c r="D8" s="954" t="s">
        <v>593</v>
      </c>
      <c r="E8" s="954"/>
      <c r="F8" s="954" t="s">
        <v>592</v>
      </c>
      <c r="G8" s="904"/>
      <c r="H8" s="904" t="s">
        <v>591</v>
      </c>
      <c r="I8" s="904"/>
      <c r="J8" s="904" t="s">
        <v>590</v>
      </c>
      <c r="K8" s="904"/>
      <c r="L8" s="904" t="s">
        <v>589</v>
      </c>
      <c r="M8" s="904"/>
      <c r="N8" s="904" t="s">
        <v>588</v>
      </c>
      <c r="O8" s="904"/>
      <c r="P8" s="953" t="s">
        <v>587</v>
      </c>
      <c r="Q8" s="878"/>
    </row>
    <row r="9" spans="1:17" ht="84.75" customHeight="1">
      <c r="A9" s="1323">
        <f t="shared" si="0"/>
        <v>5</v>
      </c>
      <c r="B9" s="1478" t="s">
        <v>280</v>
      </c>
      <c r="C9" s="1475"/>
      <c r="D9" s="1479" t="s">
        <v>1026</v>
      </c>
      <c r="E9" s="1480"/>
      <c r="F9" s="1479" t="s">
        <v>956</v>
      </c>
      <c r="G9" s="952"/>
      <c r="H9" s="1479" t="s">
        <v>1027</v>
      </c>
      <c r="I9" s="951"/>
      <c r="J9" s="1479" t="s">
        <v>754</v>
      </c>
      <c r="K9" s="951"/>
      <c r="L9" s="1479" t="s">
        <v>586</v>
      </c>
      <c r="M9" s="885"/>
      <c r="N9" s="1479" t="s">
        <v>1032</v>
      </c>
      <c r="O9" s="887"/>
      <c r="P9" s="1481" t="s">
        <v>585</v>
      </c>
      <c r="Q9" s="878"/>
    </row>
    <row r="10" spans="1:17">
      <c r="A10" s="1323">
        <f t="shared" si="0"/>
        <v>6</v>
      </c>
      <c r="B10" s="1142"/>
      <c r="C10" s="950"/>
      <c r="D10" s="1146"/>
      <c r="E10" s="914"/>
      <c r="F10" s="1146"/>
      <c r="G10" s="887"/>
      <c r="H10" s="1148"/>
      <c r="I10" s="949"/>
      <c r="J10" s="1148"/>
      <c r="K10" s="887"/>
      <c r="L10" s="942">
        <f>H10-J10</f>
        <v>0</v>
      </c>
      <c r="M10" s="914"/>
      <c r="N10" s="1150"/>
      <c r="O10" s="887"/>
      <c r="P10" s="941">
        <f>N70</f>
        <v>0</v>
      </c>
      <c r="Q10" s="878"/>
    </row>
    <row r="11" spans="1:17">
      <c r="A11" s="1323">
        <f t="shared" si="0"/>
        <v>7</v>
      </c>
      <c r="B11" s="1143"/>
      <c r="C11" s="947"/>
      <c r="D11" s="1147"/>
      <c r="E11" s="887"/>
      <c r="F11" s="1146"/>
      <c r="G11" s="887"/>
      <c r="H11" s="1149"/>
      <c r="I11" s="887"/>
      <c r="J11" s="1149"/>
      <c r="K11" s="887"/>
      <c r="L11" s="942">
        <f>H11-J11</f>
        <v>0</v>
      </c>
      <c r="M11" s="887"/>
      <c r="N11" s="1150"/>
      <c r="O11" s="887"/>
      <c r="P11" s="941">
        <f>N119</f>
        <v>0</v>
      </c>
      <c r="Q11" s="878"/>
    </row>
    <row r="12" spans="1:17">
      <c r="A12" s="1323">
        <f t="shared" si="0"/>
        <v>8</v>
      </c>
      <c r="B12" s="1143"/>
      <c r="C12" s="947"/>
      <c r="D12" s="1147"/>
      <c r="E12" s="887"/>
      <c r="F12" s="1146"/>
      <c r="G12" s="887"/>
      <c r="H12" s="1149"/>
      <c r="I12" s="887"/>
      <c r="J12" s="1149"/>
      <c r="K12" s="887"/>
      <c r="L12" s="942">
        <f>H12-J12</f>
        <v>0</v>
      </c>
      <c r="M12" s="887"/>
      <c r="N12" s="1150"/>
      <c r="O12" s="887"/>
      <c r="P12" s="941">
        <f>N163</f>
        <v>0</v>
      </c>
      <c r="Q12" s="878"/>
    </row>
    <row r="13" spans="1:17">
      <c r="A13" s="1323">
        <f t="shared" si="0"/>
        <v>9</v>
      </c>
      <c r="B13" s="1143"/>
      <c r="C13" s="947"/>
      <c r="D13" s="1147"/>
      <c r="E13" s="887"/>
      <c r="F13" s="1146"/>
      <c r="G13" s="887"/>
      <c r="H13" s="887"/>
      <c r="I13" s="887"/>
      <c r="J13" s="887"/>
      <c r="K13" s="887"/>
      <c r="L13" s="942"/>
      <c r="M13" s="887"/>
      <c r="N13" s="940"/>
      <c r="O13" s="887"/>
      <c r="P13" s="941"/>
      <c r="Q13" s="878"/>
    </row>
    <row r="14" spans="1:17">
      <c r="A14" s="1323">
        <f t="shared" si="0"/>
        <v>10</v>
      </c>
      <c r="B14" s="945"/>
      <c r="C14" s="947"/>
      <c r="D14" s="948"/>
      <c r="E14" s="887"/>
      <c r="F14" s="943"/>
      <c r="G14" s="887"/>
      <c r="H14" s="887"/>
      <c r="I14" s="887"/>
      <c r="J14" s="887"/>
      <c r="K14" s="887"/>
      <c r="L14" s="942"/>
      <c r="M14" s="887"/>
      <c r="N14" s="940"/>
      <c r="O14" s="887"/>
      <c r="P14" s="941"/>
      <c r="Q14" s="878"/>
    </row>
    <row r="15" spans="1:17">
      <c r="A15" s="1323">
        <f t="shared" si="0"/>
        <v>11</v>
      </c>
      <c r="B15" s="945"/>
      <c r="C15" s="947"/>
      <c r="D15" s="944"/>
      <c r="E15" s="887"/>
      <c r="F15" s="943"/>
      <c r="G15" s="887"/>
      <c r="H15" s="887"/>
      <c r="I15" s="887"/>
      <c r="J15" s="887"/>
      <c r="K15" s="887"/>
      <c r="L15" s="942"/>
      <c r="M15" s="887"/>
      <c r="N15" s="940"/>
      <c r="O15" s="887"/>
      <c r="P15" s="946"/>
      <c r="Q15" s="878"/>
    </row>
    <row r="16" spans="1:17">
      <c r="A16" s="1323">
        <f t="shared" si="0"/>
        <v>12</v>
      </c>
      <c r="B16" s="945"/>
      <c r="C16" s="887"/>
      <c r="D16" s="944"/>
      <c r="E16" s="887"/>
      <c r="F16" s="943"/>
      <c r="G16" s="887"/>
      <c r="H16" s="887"/>
      <c r="I16" s="887"/>
      <c r="J16" s="887"/>
      <c r="K16" s="887"/>
      <c r="L16" s="942"/>
      <c r="M16" s="887"/>
      <c r="N16" s="940"/>
      <c r="O16" s="887"/>
      <c r="P16" s="941">
        <f>SUM(P10:P15)</f>
        <v>0</v>
      </c>
      <c r="Q16" s="878"/>
    </row>
    <row r="17" spans="1:17" ht="13.5">
      <c r="A17" s="1323">
        <f t="shared" si="0"/>
        <v>13</v>
      </c>
      <c r="B17" s="938" t="s">
        <v>377</v>
      </c>
      <c r="C17" s="887"/>
      <c r="D17" s="887"/>
      <c r="E17" s="887"/>
      <c r="F17" s="887"/>
      <c r="G17" s="887"/>
      <c r="H17" s="887"/>
      <c r="I17" s="887"/>
      <c r="J17" s="887"/>
      <c r="K17" s="887"/>
      <c r="L17" s="887"/>
      <c r="M17" s="887"/>
      <c r="N17" s="940"/>
      <c r="O17" s="887"/>
      <c r="P17" s="934"/>
      <c r="Q17" s="878"/>
    </row>
    <row r="18" spans="1:17" ht="13.5">
      <c r="A18" s="1323">
        <f t="shared" si="0"/>
        <v>14</v>
      </c>
      <c r="B18" s="938" t="s">
        <v>598</v>
      </c>
      <c r="C18" s="887"/>
      <c r="D18" s="887"/>
      <c r="E18" s="887"/>
      <c r="F18" s="887"/>
      <c r="G18" s="887"/>
      <c r="H18" s="887"/>
      <c r="I18" s="887"/>
      <c r="J18" s="887"/>
      <c r="K18" s="887"/>
      <c r="L18" s="887"/>
      <c r="M18" s="887"/>
      <c r="N18" s="887"/>
      <c r="O18" s="887"/>
      <c r="P18" s="934"/>
      <c r="Q18" s="878"/>
    </row>
    <row r="19" spans="1:17" ht="13.5">
      <c r="A19" s="1323">
        <f t="shared" si="0"/>
        <v>15</v>
      </c>
      <c r="B19" s="938"/>
      <c r="C19" s="887"/>
      <c r="D19" s="887"/>
      <c r="E19" s="887"/>
      <c r="F19" s="887"/>
      <c r="G19" s="887"/>
      <c r="H19" s="887"/>
      <c r="I19" s="887"/>
      <c r="J19" s="887"/>
      <c r="K19" s="887"/>
      <c r="L19" s="887"/>
      <c r="M19" s="887"/>
      <c r="N19" s="887"/>
      <c r="O19" s="887"/>
      <c r="P19" s="934"/>
      <c r="Q19" s="878"/>
    </row>
    <row r="20" spans="1:17" ht="13.5">
      <c r="A20" s="1323">
        <f t="shared" si="0"/>
        <v>16</v>
      </c>
      <c r="B20" s="939"/>
      <c r="C20" s="887"/>
      <c r="D20" s="887"/>
      <c r="E20" s="887"/>
      <c r="F20" s="887"/>
      <c r="G20" s="887"/>
      <c r="H20" s="887"/>
      <c r="I20" s="887"/>
      <c r="J20" s="887"/>
      <c r="K20" s="887"/>
      <c r="L20" s="887"/>
      <c r="M20" s="887"/>
      <c r="N20" s="887"/>
      <c r="O20" s="887"/>
      <c r="P20" s="934"/>
      <c r="Q20" s="878"/>
    </row>
    <row r="21" spans="1:17" ht="13.5">
      <c r="A21" s="1323">
        <f t="shared" si="0"/>
        <v>17</v>
      </c>
      <c r="B21" s="938"/>
      <c r="C21" s="887"/>
      <c r="D21" s="887"/>
      <c r="E21" s="887"/>
      <c r="F21" s="887"/>
      <c r="G21" s="887"/>
      <c r="H21" s="887"/>
      <c r="I21" s="887"/>
      <c r="J21" s="887"/>
      <c r="K21" s="887"/>
      <c r="L21" s="887"/>
      <c r="M21" s="887"/>
      <c r="N21" s="887"/>
      <c r="O21" s="887"/>
      <c r="P21" s="934"/>
      <c r="Q21" s="878"/>
    </row>
    <row r="22" spans="1:17">
      <c r="A22" s="1323">
        <f t="shared" si="0"/>
        <v>18</v>
      </c>
      <c r="B22" s="937"/>
      <c r="C22" s="936"/>
      <c r="D22" s="914"/>
      <c r="E22" s="887"/>
      <c r="F22" s="887"/>
      <c r="G22" s="887"/>
      <c r="H22" s="887"/>
      <c r="I22" s="887"/>
      <c r="J22" s="887"/>
      <c r="K22" s="887"/>
      <c r="L22" s="887"/>
      <c r="M22" s="887"/>
      <c r="N22" s="887"/>
      <c r="O22" s="887"/>
      <c r="P22" s="934"/>
      <c r="Q22" s="878"/>
    </row>
    <row r="23" spans="1:17">
      <c r="A23" s="1323">
        <f t="shared" si="0"/>
        <v>19</v>
      </c>
      <c r="B23" s="935"/>
      <c r="C23" s="893"/>
      <c r="D23" s="903"/>
      <c r="E23" s="903"/>
      <c r="F23" s="893"/>
      <c r="G23" s="893"/>
      <c r="H23" s="903"/>
      <c r="I23" s="903"/>
      <c r="J23" s="893"/>
      <c r="K23" s="893"/>
      <c r="L23" s="887"/>
      <c r="M23" s="887"/>
      <c r="N23" s="887"/>
      <c r="O23" s="887"/>
      <c r="P23" s="934"/>
      <c r="Q23" s="878"/>
    </row>
    <row r="24" spans="1:17" ht="13.5" thickBot="1">
      <c r="A24" s="1323">
        <f t="shared" si="0"/>
        <v>20</v>
      </c>
      <c r="B24" s="933"/>
      <c r="C24" s="931"/>
      <c r="D24" s="932"/>
      <c r="E24" s="932"/>
      <c r="F24" s="931"/>
      <c r="G24" s="931"/>
      <c r="H24" s="932"/>
      <c r="I24" s="932"/>
      <c r="J24" s="931"/>
      <c r="K24" s="931"/>
      <c r="L24" s="930"/>
      <c r="M24" s="930"/>
      <c r="N24" s="930"/>
      <c r="O24" s="930"/>
      <c r="P24" s="929"/>
      <c r="Q24" s="878"/>
    </row>
    <row r="25" spans="1:17" ht="35.25" customHeight="1">
      <c r="A25" s="1323">
        <f t="shared" si="0"/>
        <v>21</v>
      </c>
      <c r="B25" s="1615" t="s">
        <v>282</v>
      </c>
      <c r="C25" s="1615"/>
      <c r="D25" s="1615"/>
      <c r="E25" s="1615"/>
      <c r="F25" s="1615"/>
      <c r="G25" s="1615"/>
      <c r="H25" s="1615"/>
      <c r="I25" s="1615"/>
      <c r="J25" s="1615"/>
      <c r="K25" s="1615"/>
      <c r="L25" s="1615"/>
      <c r="M25" s="1615"/>
      <c r="N25" s="1615"/>
      <c r="O25" s="1615"/>
      <c r="P25" s="1615"/>
      <c r="Q25" s="878"/>
    </row>
    <row r="26" spans="1:17" ht="53.25" customHeight="1">
      <c r="A26" s="1323">
        <f t="shared" si="0"/>
        <v>22</v>
      </c>
      <c r="B26" s="924" t="s">
        <v>283</v>
      </c>
      <c r="C26" s="924"/>
      <c r="D26" s="1476"/>
      <c r="E26" s="1476"/>
      <c r="F26" s="928" t="s">
        <v>597</v>
      </c>
      <c r="G26" s="919"/>
      <c r="H26" s="928" t="s">
        <v>378</v>
      </c>
      <c r="I26" s="928"/>
      <c r="J26" s="1474" t="s">
        <v>256</v>
      </c>
      <c r="K26" s="1474"/>
      <c r="L26" s="926" t="s">
        <v>257</v>
      </c>
      <c r="M26" s="926"/>
      <c r="N26" s="928" t="s">
        <v>258</v>
      </c>
      <c r="O26" s="925"/>
      <c r="P26" s="928" t="s">
        <v>259</v>
      </c>
      <c r="Q26" s="878"/>
    </row>
    <row r="27" spans="1:17">
      <c r="A27" s="1323">
        <f t="shared" si="0"/>
        <v>23</v>
      </c>
      <c r="B27" s="924"/>
      <c r="C27" s="924"/>
      <c r="D27" s="921"/>
      <c r="E27" s="921"/>
      <c r="F27" s="920"/>
      <c r="G27" s="923"/>
      <c r="H27" s="923"/>
      <c r="I27" s="923"/>
      <c r="J27" s="919"/>
      <c r="K27" s="919"/>
      <c r="L27" s="920"/>
      <c r="M27" s="920"/>
      <c r="N27" s="920"/>
      <c r="O27" s="920"/>
      <c r="P27" s="920"/>
      <c r="Q27" s="878"/>
    </row>
    <row r="28" spans="1:17">
      <c r="A28" s="1323">
        <f t="shared" si="0"/>
        <v>24</v>
      </c>
      <c r="B28" s="922" t="s">
        <v>8</v>
      </c>
      <c r="C28" s="922"/>
      <c r="D28" s="921"/>
      <c r="E28" s="921"/>
      <c r="F28" s="921"/>
      <c r="G28" s="921"/>
      <c r="H28" s="921" t="s">
        <v>8</v>
      </c>
      <c r="I28" s="921"/>
      <c r="J28" s="920"/>
      <c r="K28" s="920"/>
      <c r="L28" s="920"/>
      <c r="M28" s="920"/>
      <c r="N28" s="920"/>
      <c r="O28" s="920"/>
      <c r="P28" s="920"/>
      <c r="Q28" s="878"/>
    </row>
    <row r="29" spans="1:17">
      <c r="A29" s="1323">
        <f t="shared" si="0"/>
        <v>25</v>
      </c>
      <c r="B29" s="913" t="s">
        <v>595</v>
      </c>
      <c r="C29" s="912"/>
      <c r="D29" s="909"/>
      <c r="E29" s="909"/>
      <c r="F29" s="909"/>
      <c r="G29" s="909"/>
      <c r="H29" s="911"/>
      <c r="I29" s="911"/>
      <c r="J29" s="911"/>
      <c r="K29" s="911"/>
      <c r="L29" s="910"/>
      <c r="M29" s="910"/>
      <c r="N29" s="909"/>
      <c r="O29" s="909"/>
      <c r="P29" s="908"/>
      <c r="Q29" s="878"/>
    </row>
    <row r="30" spans="1:17">
      <c r="A30" s="1323">
        <f t="shared" si="0"/>
        <v>26</v>
      </c>
      <c r="B30" s="907"/>
      <c r="C30" s="905"/>
      <c r="D30" s="903"/>
      <c r="E30" s="903"/>
      <c r="F30" s="903"/>
      <c r="G30" s="903"/>
      <c r="H30" s="887"/>
      <c r="I30" s="887"/>
      <c r="J30" s="887"/>
      <c r="K30" s="887"/>
      <c r="L30" s="904" t="s">
        <v>261</v>
      </c>
      <c r="M30" s="904"/>
      <c r="N30" s="903"/>
      <c r="O30" s="903"/>
      <c r="P30" s="902"/>
      <c r="Q30" s="878"/>
    </row>
    <row r="31" spans="1:17">
      <c r="A31" s="1323">
        <f t="shared" si="0"/>
        <v>27</v>
      </c>
      <c r="B31" s="906"/>
      <c r="C31" s="905"/>
      <c r="D31" s="903"/>
      <c r="E31" s="903"/>
      <c r="F31" s="903"/>
      <c r="G31" s="903"/>
      <c r="H31" s="887"/>
      <c r="I31" s="887"/>
      <c r="J31" s="887"/>
      <c r="K31" s="887"/>
      <c r="L31" s="904"/>
      <c r="M31" s="904"/>
      <c r="N31" s="903"/>
      <c r="O31" s="903"/>
      <c r="P31" s="902"/>
      <c r="Q31" s="878"/>
    </row>
    <row r="32" spans="1:17">
      <c r="A32" s="1323">
        <f t="shared" si="0"/>
        <v>28</v>
      </c>
      <c r="B32" s="888" t="s">
        <v>156</v>
      </c>
      <c r="C32" s="887"/>
      <c r="D32" s="957">
        <f>+B10</f>
        <v>0</v>
      </c>
      <c r="E32" s="887"/>
      <c r="F32" s="891">
        <f>+L10/12</f>
        <v>0</v>
      </c>
      <c r="G32" s="891"/>
      <c r="H32" s="892">
        <f>N10</f>
        <v>0</v>
      </c>
      <c r="I32" s="892"/>
      <c r="J32" s="900">
        <v>12</v>
      </c>
      <c r="K32" s="887"/>
      <c r="L32" s="891">
        <f t="shared" ref="L32:L43" si="1">H32*F32*J32*-1</f>
        <v>0</v>
      </c>
      <c r="M32" s="891"/>
      <c r="N32" s="891"/>
      <c r="O32" s="891"/>
      <c r="P32" s="890">
        <f t="shared" ref="P32:P43" si="2">(-L32+F32)*-1</f>
        <v>0</v>
      </c>
      <c r="Q32" s="878"/>
    </row>
    <row r="33" spans="1:17">
      <c r="A33" s="1323">
        <f t="shared" si="0"/>
        <v>29</v>
      </c>
      <c r="B33" s="888" t="s">
        <v>155</v>
      </c>
      <c r="C33" s="887"/>
      <c r="D33" s="957">
        <f>+D32</f>
        <v>0</v>
      </c>
      <c r="E33" s="887"/>
      <c r="F33" s="891">
        <f t="shared" ref="F33:F43" si="3">+F32</f>
        <v>0</v>
      </c>
      <c r="G33" s="891"/>
      <c r="H33" s="892">
        <f t="shared" ref="H33:H43" si="4">+H32</f>
        <v>0</v>
      </c>
      <c r="I33" s="892"/>
      <c r="J33" s="901">
        <f t="shared" ref="J33:J43" si="5">+J32-1</f>
        <v>11</v>
      </c>
      <c r="K33" s="885"/>
      <c r="L33" s="891">
        <f t="shared" si="1"/>
        <v>0</v>
      </c>
      <c r="M33" s="891"/>
      <c r="N33" s="891"/>
      <c r="O33" s="891"/>
      <c r="P33" s="890">
        <f t="shared" si="2"/>
        <v>0</v>
      </c>
      <c r="Q33" s="878"/>
    </row>
    <row r="34" spans="1:17">
      <c r="A34" s="1323">
        <f t="shared" si="0"/>
        <v>30</v>
      </c>
      <c r="B34" s="888" t="s">
        <v>154</v>
      </c>
      <c r="C34" s="887"/>
      <c r="D34" s="957">
        <f t="shared" ref="D34:D43" si="6">+D33</f>
        <v>0</v>
      </c>
      <c r="E34" s="887"/>
      <c r="F34" s="891">
        <f t="shared" si="3"/>
        <v>0</v>
      </c>
      <c r="G34" s="891"/>
      <c r="H34" s="892">
        <f t="shared" si="4"/>
        <v>0</v>
      </c>
      <c r="I34" s="892"/>
      <c r="J34" s="901">
        <f t="shared" si="5"/>
        <v>10</v>
      </c>
      <c r="K34" s="885"/>
      <c r="L34" s="891">
        <f t="shared" si="1"/>
        <v>0</v>
      </c>
      <c r="M34" s="891"/>
      <c r="N34" s="891"/>
      <c r="O34" s="891"/>
      <c r="P34" s="890">
        <f t="shared" si="2"/>
        <v>0</v>
      </c>
      <c r="Q34" s="878"/>
    </row>
    <row r="35" spans="1:17">
      <c r="A35" s="1323">
        <f t="shared" si="0"/>
        <v>31</v>
      </c>
      <c r="B35" s="888" t="s">
        <v>134</v>
      </c>
      <c r="C35" s="887"/>
      <c r="D35" s="957">
        <f t="shared" si="6"/>
        <v>0</v>
      </c>
      <c r="E35" s="887"/>
      <c r="F35" s="891">
        <f t="shared" si="3"/>
        <v>0</v>
      </c>
      <c r="G35" s="891"/>
      <c r="H35" s="892">
        <f t="shared" si="4"/>
        <v>0</v>
      </c>
      <c r="I35" s="892"/>
      <c r="J35" s="901">
        <f t="shared" si="5"/>
        <v>9</v>
      </c>
      <c r="K35" s="885"/>
      <c r="L35" s="891">
        <f t="shared" si="1"/>
        <v>0</v>
      </c>
      <c r="M35" s="891"/>
      <c r="N35" s="891"/>
      <c r="O35" s="891"/>
      <c r="P35" s="890">
        <f t="shared" si="2"/>
        <v>0</v>
      </c>
      <c r="Q35" s="878"/>
    </row>
    <row r="36" spans="1:17">
      <c r="A36" s="1323">
        <f t="shared" si="0"/>
        <v>32</v>
      </c>
      <c r="B36" s="888" t="s">
        <v>131</v>
      </c>
      <c r="C36" s="887"/>
      <c r="D36" s="957">
        <f t="shared" si="6"/>
        <v>0</v>
      </c>
      <c r="E36" s="887"/>
      <c r="F36" s="891">
        <f t="shared" si="3"/>
        <v>0</v>
      </c>
      <c r="G36" s="891"/>
      <c r="H36" s="892">
        <f t="shared" si="4"/>
        <v>0</v>
      </c>
      <c r="I36" s="892"/>
      <c r="J36" s="901">
        <f t="shared" si="5"/>
        <v>8</v>
      </c>
      <c r="K36" s="885"/>
      <c r="L36" s="891">
        <f t="shared" si="1"/>
        <v>0</v>
      </c>
      <c r="M36" s="891"/>
      <c r="N36" s="891"/>
      <c r="O36" s="891"/>
      <c r="P36" s="890">
        <f t="shared" si="2"/>
        <v>0</v>
      </c>
      <c r="Q36" s="878"/>
    </row>
    <row r="37" spans="1:17">
      <c r="A37" s="1323">
        <f t="shared" si="0"/>
        <v>33</v>
      </c>
      <c r="B37" s="888" t="s">
        <v>262</v>
      </c>
      <c r="C37" s="887"/>
      <c r="D37" s="957">
        <f t="shared" si="6"/>
        <v>0</v>
      </c>
      <c r="E37" s="887"/>
      <c r="F37" s="891">
        <f t="shared" si="3"/>
        <v>0</v>
      </c>
      <c r="G37" s="891"/>
      <c r="H37" s="892">
        <f t="shared" si="4"/>
        <v>0</v>
      </c>
      <c r="I37" s="892"/>
      <c r="J37" s="901">
        <f t="shared" si="5"/>
        <v>7</v>
      </c>
      <c r="K37" s="885"/>
      <c r="L37" s="891">
        <f t="shared" si="1"/>
        <v>0</v>
      </c>
      <c r="M37" s="891"/>
      <c r="N37" s="891"/>
      <c r="O37" s="891"/>
      <c r="P37" s="890">
        <f t="shared" si="2"/>
        <v>0</v>
      </c>
      <c r="Q37" s="878"/>
    </row>
    <row r="38" spans="1:17">
      <c r="A38" s="1323">
        <f t="shared" si="0"/>
        <v>34</v>
      </c>
      <c r="B38" s="888" t="s">
        <v>152</v>
      </c>
      <c r="C38" s="887"/>
      <c r="D38" s="957">
        <f t="shared" si="6"/>
        <v>0</v>
      </c>
      <c r="E38" s="887"/>
      <c r="F38" s="891">
        <f t="shared" si="3"/>
        <v>0</v>
      </c>
      <c r="G38" s="891"/>
      <c r="H38" s="892">
        <f t="shared" si="4"/>
        <v>0</v>
      </c>
      <c r="I38" s="892"/>
      <c r="J38" s="901">
        <f t="shared" si="5"/>
        <v>6</v>
      </c>
      <c r="K38" s="885"/>
      <c r="L38" s="891">
        <f t="shared" si="1"/>
        <v>0</v>
      </c>
      <c r="M38" s="891"/>
      <c r="N38" s="891"/>
      <c r="O38" s="891"/>
      <c r="P38" s="890">
        <f t="shared" si="2"/>
        <v>0</v>
      </c>
      <c r="Q38" s="878"/>
    </row>
    <row r="39" spans="1:17">
      <c r="A39" s="1323">
        <f t="shared" si="0"/>
        <v>35</v>
      </c>
      <c r="B39" s="888" t="s">
        <v>151</v>
      </c>
      <c r="C39" s="887"/>
      <c r="D39" s="957">
        <f t="shared" si="6"/>
        <v>0</v>
      </c>
      <c r="E39" s="887"/>
      <c r="F39" s="891">
        <f t="shared" si="3"/>
        <v>0</v>
      </c>
      <c r="G39" s="891"/>
      <c r="H39" s="892">
        <f t="shared" si="4"/>
        <v>0</v>
      </c>
      <c r="I39" s="892"/>
      <c r="J39" s="901">
        <f t="shared" si="5"/>
        <v>5</v>
      </c>
      <c r="K39" s="885"/>
      <c r="L39" s="891">
        <f t="shared" si="1"/>
        <v>0</v>
      </c>
      <c r="M39" s="891"/>
      <c r="N39" s="891"/>
      <c r="O39" s="891"/>
      <c r="P39" s="890">
        <f t="shared" si="2"/>
        <v>0</v>
      </c>
      <c r="Q39" s="878"/>
    </row>
    <row r="40" spans="1:17">
      <c r="A40" s="1323">
        <f t="shared" si="0"/>
        <v>36</v>
      </c>
      <c r="B40" s="888" t="s">
        <v>150</v>
      </c>
      <c r="C40" s="887"/>
      <c r="D40" s="957">
        <f t="shared" si="6"/>
        <v>0</v>
      </c>
      <c r="E40" s="887"/>
      <c r="F40" s="891">
        <f t="shared" si="3"/>
        <v>0</v>
      </c>
      <c r="G40" s="891"/>
      <c r="H40" s="892">
        <f t="shared" si="4"/>
        <v>0</v>
      </c>
      <c r="I40" s="892"/>
      <c r="J40" s="901">
        <f t="shared" si="5"/>
        <v>4</v>
      </c>
      <c r="K40" s="885"/>
      <c r="L40" s="891">
        <f t="shared" si="1"/>
        <v>0</v>
      </c>
      <c r="M40" s="891"/>
      <c r="N40" s="891"/>
      <c r="O40" s="891"/>
      <c r="P40" s="890">
        <f t="shared" si="2"/>
        <v>0</v>
      </c>
      <c r="Q40" s="878"/>
    </row>
    <row r="41" spans="1:17">
      <c r="A41" s="1323">
        <f t="shared" si="0"/>
        <v>37</v>
      </c>
      <c r="B41" s="888" t="s">
        <v>161</v>
      </c>
      <c r="C41" s="887"/>
      <c r="D41" s="957">
        <f t="shared" si="6"/>
        <v>0</v>
      </c>
      <c r="E41" s="887"/>
      <c r="F41" s="891">
        <f t="shared" si="3"/>
        <v>0</v>
      </c>
      <c r="G41" s="891"/>
      <c r="H41" s="892">
        <f t="shared" si="4"/>
        <v>0</v>
      </c>
      <c r="I41" s="892"/>
      <c r="J41" s="901">
        <f t="shared" si="5"/>
        <v>3</v>
      </c>
      <c r="K41" s="885"/>
      <c r="L41" s="891">
        <f t="shared" si="1"/>
        <v>0</v>
      </c>
      <c r="M41" s="891"/>
      <c r="N41" s="891"/>
      <c r="O41" s="891"/>
      <c r="P41" s="890">
        <f t="shared" si="2"/>
        <v>0</v>
      </c>
      <c r="Q41" s="878"/>
    </row>
    <row r="42" spans="1:17">
      <c r="A42" s="1323">
        <f t="shared" si="0"/>
        <v>38</v>
      </c>
      <c r="B42" s="888" t="s">
        <v>148</v>
      </c>
      <c r="C42" s="887"/>
      <c r="D42" s="957">
        <f t="shared" si="6"/>
        <v>0</v>
      </c>
      <c r="E42" s="887"/>
      <c r="F42" s="891">
        <f t="shared" si="3"/>
        <v>0</v>
      </c>
      <c r="G42" s="891"/>
      <c r="H42" s="892">
        <f t="shared" si="4"/>
        <v>0</v>
      </c>
      <c r="I42" s="892"/>
      <c r="J42" s="901">
        <f t="shared" si="5"/>
        <v>2</v>
      </c>
      <c r="K42" s="885"/>
      <c r="L42" s="891">
        <f t="shared" si="1"/>
        <v>0</v>
      </c>
      <c r="M42" s="891"/>
      <c r="N42" s="891"/>
      <c r="O42" s="891"/>
      <c r="P42" s="890">
        <f t="shared" si="2"/>
        <v>0</v>
      </c>
      <c r="Q42" s="878"/>
    </row>
    <row r="43" spans="1:17">
      <c r="A43" s="1323">
        <f t="shared" si="0"/>
        <v>39</v>
      </c>
      <c r="B43" s="888" t="s">
        <v>146</v>
      </c>
      <c r="C43" s="887"/>
      <c r="D43" s="957">
        <f t="shared" si="6"/>
        <v>0</v>
      </c>
      <c r="E43" s="887"/>
      <c r="F43" s="891">
        <f t="shared" si="3"/>
        <v>0</v>
      </c>
      <c r="G43" s="891"/>
      <c r="H43" s="892">
        <f t="shared" si="4"/>
        <v>0</v>
      </c>
      <c r="I43" s="892"/>
      <c r="J43" s="901">
        <f t="shared" si="5"/>
        <v>1</v>
      </c>
      <c r="K43" s="885"/>
      <c r="L43" s="894">
        <f t="shared" si="1"/>
        <v>0</v>
      </c>
      <c r="M43" s="891"/>
      <c r="N43" s="891"/>
      <c r="O43" s="891"/>
      <c r="P43" s="890">
        <f t="shared" si="2"/>
        <v>0</v>
      </c>
      <c r="Q43" s="878"/>
    </row>
    <row r="44" spans="1:17">
      <c r="A44" s="1323">
        <f t="shared" si="0"/>
        <v>40</v>
      </c>
      <c r="B44" s="888"/>
      <c r="C44" s="887"/>
      <c r="D44" s="887"/>
      <c r="E44" s="887"/>
      <c r="F44" s="891"/>
      <c r="G44" s="891"/>
      <c r="H44" s="892"/>
      <c r="I44" s="892"/>
      <c r="J44" s="885"/>
      <c r="K44" s="885"/>
      <c r="L44" s="891">
        <f>SUM(L32:L43)</f>
        <v>0</v>
      </c>
      <c r="M44" s="891"/>
      <c r="N44" s="891"/>
      <c r="O44" s="891"/>
      <c r="P44" s="899">
        <f>SUM(P32:P43)</f>
        <v>0</v>
      </c>
      <c r="Q44" s="878"/>
    </row>
    <row r="45" spans="1:17">
      <c r="A45" s="1323">
        <f t="shared" si="0"/>
        <v>41</v>
      </c>
      <c r="B45" s="888"/>
      <c r="C45" s="887"/>
      <c r="D45" s="887"/>
      <c r="E45" s="887"/>
      <c r="F45" s="891"/>
      <c r="G45" s="891"/>
      <c r="H45" s="892"/>
      <c r="I45" s="892"/>
      <c r="J45" s="885"/>
      <c r="K45" s="885"/>
      <c r="L45" s="891"/>
      <c r="M45" s="891"/>
      <c r="N45" s="891"/>
      <c r="O45" s="891"/>
      <c r="P45" s="899"/>
      <c r="Q45" s="878"/>
    </row>
    <row r="46" spans="1:17">
      <c r="A46" s="1323">
        <f t="shared" si="0"/>
        <v>42</v>
      </c>
      <c r="B46" s="888"/>
      <c r="C46" s="887"/>
      <c r="D46" s="887"/>
      <c r="E46" s="887"/>
      <c r="F46" s="891"/>
      <c r="G46" s="891"/>
      <c r="H46" s="892"/>
      <c r="I46" s="892"/>
      <c r="J46" s="885"/>
      <c r="K46" s="885"/>
      <c r="L46" s="896" t="s">
        <v>263</v>
      </c>
      <c r="M46" s="891"/>
      <c r="N46" s="891"/>
      <c r="O46" s="891"/>
      <c r="P46" s="899"/>
      <c r="Q46" s="878"/>
    </row>
    <row r="47" spans="1:17">
      <c r="A47" s="1323">
        <f t="shared" si="0"/>
        <v>43</v>
      </c>
      <c r="B47" s="888"/>
      <c r="C47" s="887"/>
      <c r="D47" s="887"/>
      <c r="E47" s="887"/>
      <c r="F47" s="891"/>
      <c r="G47" s="891"/>
      <c r="H47" s="892"/>
      <c r="I47" s="892"/>
      <c r="J47" s="885"/>
      <c r="K47" s="885"/>
      <c r="L47" s="896"/>
      <c r="M47" s="891"/>
      <c r="N47" s="891"/>
      <c r="O47" s="891"/>
      <c r="P47" s="899"/>
      <c r="Q47" s="878"/>
    </row>
    <row r="48" spans="1:17">
      <c r="A48" s="1323">
        <f t="shared" si="0"/>
        <v>44</v>
      </c>
      <c r="B48" s="888" t="s">
        <v>264</v>
      </c>
      <c r="C48" s="887"/>
      <c r="D48" s="958">
        <f>+D43+1</f>
        <v>1</v>
      </c>
      <c r="E48" s="887"/>
      <c r="F48" s="891">
        <f>P44</f>
        <v>0</v>
      </c>
      <c r="G48" s="891"/>
      <c r="H48" s="892">
        <f>+N11</f>
        <v>0</v>
      </c>
      <c r="I48" s="892"/>
      <c r="J48" s="900">
        <v>12</v>
      </c>
      <c r="K48" s="887"/>
      <c r="L48" s="891">
        <f>+J48*H48*F48</f>
        <v>0</v>
      </c>
      <c r="M48" s="891"/>
      <c r="N48" s="891" t="s">
        <v>8</v>
      </c>
      <c r="O48" s="891"/>
      <c r="P48" s="899">
        <f>+F48+L48</f>
        <v>0</v>
      </c>
      <c r="Q48" s="878"/>
    </row>
    <row r="49" spans="1:18">
      <c r="A49" s="1323">
        <f t="shared" si="0"/>
        <v>45</v>
      </c>
      <c r="B49" s="888" t="s">
        <v>264</v>
      </c>
      <c r="C49" s="887"/>
      <c r="D49" s="958">
        <f>+D48+1</f>
        <v>2</v>
      </c>
      <c r="E49" s="887"/>
      <c r="F49" s="893">
        <f>P48</f>
        <v>0</v>
      </c>
      <c r="G49" s="893"/>
      <c r="H49" s="892">
        <f>+N12</f>
        <v>0</v>
      </c>
      <c r="I49" s="892"/>
      <c r="J49" s="900">
        <v>12</v>
      </c>
      <c r="K49" s="887"/>
      <c r="L49" s="891">
        <f>+J49*H49*F49</f>
        <v>0</v>
      </c>
      <c r="M49" s="891"/>
      <c r="N49" s="891"/>
      <c r="O49" s="891"/>
      <c r="P49" s="899">
        <f>+F49+L49</f>
        <v>0</v>
      </c>
      <c r="Q49" s="878"/>
    </row>
    <row r="50" spans="1:18">
      <c r="A50" s="1323">
        <f t="shared" si="0"/>
        <v>46</v>
      </c>
      <c r="B50" s="888" t="s">
        <v>264</v>
      </c>
      <c r="C50" s="887"/>
      <c r="D50" s="958">
        <f>+D49+1</f>
        <v>3</v>
      </c>
      <c r="E50" s="887"/>
      <c r="F50" s="893">
        <f>P49</f>
        <v>0</v>
      </c>
      <c r="G50" s="893"/>
      <c r="H50" s="892">
        <f>+N12</f>
        <v>0</v>
      </c>
      <c r="I50" s="892"/>
      <c r="J50" s="900">
        <v>12</v>
      </c>
      <c r="K50" s="887"/>
      <c r="L50" s="891">
        <f>+J50*H50*F50</f>
        <v>0</v>
      </c>
      <c r="M50" s="891"/>
      <c r="N50" s="891"/>
      <c r="O50" s="891"/>
      <c r="P50" s="899">
        <f>+F50+L50</f>
        <v>0</v>
      </c>
      <c r="Q50" s="878"/>
    </row>
    <row r="51" spans="1:18">
      <c r="A51" s="1323">
        <f t="shared" si="0"/>
        <v>47</v>
      </c>
      <c r="B51" s="888"/>
      <c r="C51" s="887"/>
      <c r="D51" s="958"/>
      <c r="E51" s="887"/>
      <c r="F51" s="893"/>
      <c r="G51" s="893"/>
      <c r="H51" s="892"/>
      <c r="I51" s="892"/>
      <c r="J51" s="900"/>
      <c r="K51" s="887"/>
      <c r="L51" s="891"/>
      <c r="M51" s="891"/>
      <c r="N51" s="891"/>
      <c r="O51" s="891"/>
      <c r="P51" s="899"/>
      <c r="Q51" s="878"/>
    </row>
    <row r="52" spans="1:18">
      <c r="A52" s="1323">
        <f t="shared" si="0"/>
        <v>48</v>
      </c>
      <c r="B52" s="888"/>
      <c r="C52" s="887"/>
      <c r="D52" s="958"/>
      <c r="E52" s="887"/>
      <c r="F52" s="893"/>
      <c r="G52" s="893"/>
      <c r="H52" s="892"/>
      <c r="I52" s="892"/>
      <c r="J52" s="900"/>
      <c r="K52" s="887"/>
      <c r="L52" s="891"/>
      <c r="M52" s="891"/>
      <c r="N52" s="891"/>
      <c r="O52" s="891"/>
      <c r="P52" s="899"/>
      <c r="Q52" s="878"/>
    </row>
    <row r="53" spans="1:18">
      <c r="A53" s="1323">
        <f t="shared" si="0"/>
        <v>49</v>
      </c>
      <c r="B53" s="888"/>
      <c r="C53" s="887"/>
      <c r="D53" s="887"/>
      <c r="E53" s="887"/>
      <c r="F53" s="893"/>
      <c r="G53" s="893"/>
      <c r="H53" s="892"/>
      <c r="I53" s="892"/>
      <c r="J53" s="887"/>
      <c r="K53" s="887"/>
      <c r="L53" s="891"/>
      <c r="M53" s="891"/>
      <c r="N53" s="891"/>
      <c r="O53" s="891"/>
      <c r="P53" s="899"/>
      <c r="Q53" s="878"/>
    </row>
    <row r="54" spans="1:18">
      <c r="A54" s="1323">
        <f t="shared" si="0"/>
        <v>50</v>
      </c>
      <c r="B54" s="888"/>
      <c r="C54" s="887"/>
      <c r="D54" s="887"/>
      <c r="E54" s="887"/>
      <c r="F54" s="893"/>
      <c r="G54" s="893"/>
      <c r="H54" s="892"/>
      <c r="I54" s="892"/>
      <c r="J54" s="887"/>
      <c r="K54" s="887"/>
      <c r="L54" s="891"/>
      <c r="M54" s="891"/>
      <c r="N54" s="891"/>
      <c r="O54" s="891"/>
      <c r="P54" s="890"/>
      <c r="Q54" s="878"/>
    </row>
    <row r="55" spans="1:18">
      <c r="A55" s="1323">
        <f t="shared" si="0"/>
        <v>51</v>
      </c>
      <c r="B55" s="898" t="s">
        <v>265</v>
      </c>
      <c r="C55" s="897"/>
      <c r="D55" s="887"/>
      <c r="E55" s="887"/>
      <c r="F55" s="891"/>
      <c r="G55" s="891"/>
      <c r="H55" s="892"/>
      <c r="I55" s="892"/>
      <c r="J55" s="887"/>
      <c r="K55" s="887"/>
      <c r="L55" s="896" t="s">
        <v>261</v>
      </c>
      <c r="M55" s="896"/>
      <c r="N55" s="891"/>
      <c r="O55" s="891"/>
      <c r="P55" s="890"/>
      <c r="Q55" s="878"/>
    </row>
    <row r="56" spans="1:18">
      <c r="A56" s="1323">
        <f t="shared" si="0"/>
        <v>52</v>
      </c>
      <c r="B56" s="888" t="s">
        <v>156</v>
      </c>
      <c r="C56" s="887"/>
      <c r="D56" s="957">
        <f>+D50+1</f>
        <v>4</v>
      </c>
      <c r="E56" s="887"/>
      <c r="F56" s="895">
        <f>+P50</f>
        <v>0</v>
      </c>
      <c r="G56" s="893"/>
      <c r="H56" s="892">
        <f>+H50</f>
        <v>0</v>
      </c>
      <c r="I56" s="892"/>
      <c r="J56" s="887"/>
      <c r="K56" s="887"/>
      <c r="L56" s="891">
        <f t="shared" ref="L56:L67" si="7" xml:space="preserve"> -H56*F56</f>
        <v>0</v>
      </c>
      <c r="M56" s="891"/>
      <c r="N56" s="891">
        <f>-PMT(H56,12,P50)</f>
        <v>0</v>
      </c>
      <c r="O56" s="891"/>
      <c r="P56" s="890">
        <f t="shared" ref="P56:P67" si="8">(+F56+F56*H56+N56)*-1</f>
        <v>0</v>
      </c>
      <c r="Q56" s="919"/>
      <c r="R56" s="918"/>
    </row>
    <row r="57" spans="1:18">
      <c r="A57" s="1323">
        <f t="shared" si="0"/>
        <v>53</v>
      </c>
      <c r="B57" s="888" t="s">
        <v>155</v>
      </c>
      <c r="C57" s="887"/>
      <c r="D57" s="957">
        <f>+D56</f>
        <v>4</v>
      </c>
      <c r="E57" s="887"/>
      <c r="F57" s="893">
        <f t="shared" ref="F57:F67" si="9">-P56</f>
        <v>0</v>
      </c>
      <c r="G57" s="893"/>
      <c r="H57" s="892">
        <f t="shared" ref="H57:H67" si="10">+H56</f>
        <v>0</v>
      </c>
      <c r="I57" s="892"/>
      <c r="J57" s="887"/>
      <c r="K57" s="887"/>
      <c r="L57" s="891">
        <f t="shared" si="7"/>
        <v>0</v>
      </c>
      <c r="M57" s="891"/>
      <c r="N57" s="891">
        <f t="shared" ref="N57:N67" si="11">N56</f>
        <v>0</v>
      </c>
      <c r="O57" s="891"/>
      <c r="P57" s="890">
        <f t="shared" si="8"/>
        <v>0</v>
      </c>
      <c r="Q57" s="919"/>
      <c r="R57" s="918"/>
    </row>
    <row r="58" spans="1:18">
      <c r="A58" s="1323">
        <f t="shared" si="0"/>
        <v>54</v>
      </c>
      <c r="B58" s="888" t="s">
        <v>154</v>
      </c>
      <c r="C58" s="887"/>
      <c r="D58" s="957">
        <f t="shared" ref="D58:D67" si="12">+D57</f>
        <v>4</v>
      </c>
      <c r="E58" s="887"/>
      <c r="F58" s="893">
        <f t="shared" si="9"/>
        <v>0</v>
      </c>
      <c r="G58" s="893"/>
      <c r="H58" s="892">
        <f t="shared" si="10"/>
        <v>0</v>
      </c>
      <c r="I58" s="892"/>
      <c r="J58" s="887"/>
      <c r="K58" s="887"/>
      <c r="L58" s="891">
        <f t="shared" si="7"/>
        <v>0</v>
      </c>
      <c r="M58" s="891"/>
      <c r="N58" s="891">
        <f t="shared" si="11"/>
        <v>0</v>
      </c>
      <c r="O58" s="891"/>
      <c r="P58" s="890">
        <f t="shared" si="8"/>
        <v>0</v>
      </c>
      <c r="Q58" s="919"/>
      <c r="R58" s="918"/>
    </row>
    <row r="59" spans="1:18">
      <c r="A59" s="1323">
        <f t="shared" si="0"/>
        <v>55</v>
      </c>
      <c r="B59" s="888" t="s">
        <v>134</v>
      </c>
      <c r="C59" s="887"/>
      <c r="D59" s="957">
        <f t="shared" si="12"/>
        <v>4</v>
      </c>
      <c r="E59" s="887"/>
      <c r="F59" s="893">
        <f t="shared" si="9"/>
        <v>0</v>
      </c>
      <c r="G59" s="893"/>
      <c r="H59" s="892">
        <f t="shared" si="10"/>
        <v>0</v>
      </c>
      <c r="I59" s="892"/>
      <c r="J59" s="887"/>
      <c r="K59" s="887"/>
      <c r="L59" s="891">
        <f t="shared" si="7"/>
        <v>0</v>
      </c>
      <c r="M59" s="891"/>
      <c r="N59" s="891">
        <f t="shared" si="11"/>
        <v>0</v>
      </c>
      <c r="O59" s="891"/>
      <c r="P59" s="890">
        <f t="shared" si="8"/>
        <v>0</v>
      </c>
      <c r="Q59" s="919"/>
      <c r="R59" s="918"/>
    </row>
    <row r="60" spans="1:18">
      <c r="A60" s="1323">
        <f t="shared" si="0"/>
        <v>56</v>
      </c>
      <c r="B60" s="888" t="s">
        <v>131</v>
      </c>
      <c r="C60" s="887"/>
      <c r="D60" s="957">
        <f t="shared" si="12"/>
        <v>4</v>
      </c>
      <c r="E60" s="887"/>
      <c r="F60" s="893">
        <f t="shared" si="9"/>
        <v>0</v>
      </c>
      <c r="G60" s="893"/>
      <c r="H60" s="892">
        <f t="shared" si="10"/>
        <v>0</v>
      </c>
      <c r="I60" s="892"/>
      <c r="J60" s="887"/>
      <c r="K60" s="887"/>
      <c r="L60" s="891">
        <f t="shared" si="7"/>
        <v>0</v>
      </c>
      <c r="M60" s="891"/>
      <c r="N60" s="891">
        <f t="shared" si="11"/>
        <v>0</v>
      </c>
      <c r="O60" s="891"/>
      <c r="P60" s="890">
        <f t="shared" si="8"/>
        <v>0</v>
      </c>
      <c r="Q60" s="919"/>
      <c r="R60" s="918"/>
    </row>
    <row r="61" spans="1:18">
      <c r="A61" s="1323">
        <f t="shared" si="0"/>
        <v>57</v>
      </c>
      <c r="B61" s="888" t="s">
        <v>262</v>
      </c>
      <c r="C61" s="887"/>
      <c r="D61" s="957">
        <f t="shared" si="12"/>
        <v>4</v>
      </c>
      <c r="E61" s="887"/>
      <c r="F61" s="893">
        <f t="shared" si="9"/>
        <v>0</v>
      </c>
      <c r="G61" s="893"/>
      <c r="H61" s="892">
        <f t="shared" si="10"/>
        <v>0</v>
      </c>
      <c r="I61" s="892"/>
      <c r="J61" s="887"/>
      <c r="K61" s="887"/>
      <c r="L61" s="891">
        <f t="shared" si="7"/>
        <v>0</v>
      </c>
      <c r="M61" s="891"/>
      <c r="N61" s="891">
        <f t="shared" si="11"/>
        <v>0</v>
      </c>
      <c r="O61" s="891"/>
      <c r="P61" s="890">
        <f t="shared" si="8"/>
        <v>0</v>
      </c>
      <c r="Q61" s="919"/>
      <c r="R61" s="918"/>
    </row>
    <row r="62" spans="1:18">
      <c r="A62" s="1323">
        <f t="shared" si="0"/>
        <v>58</v>
      </c>
      <c r="B62" s="888" t="s">
        <v>152</v>
      </c>
      <c r="C62" s="887"/>
      <c r="D62" s="957">
        <f t="shared" si="12"/>
        <v>4</v>
      </c>
      <c r="E62" s="887"/>
      <c r="F62" s="893">
        <f t="shared" si="9"/>
        <v>0</v>
      </c>
      <c r="G62" s="893"/>
      <c r="H62" s="892">
        <f t="shared" si="10"/>
        <v>0</v>
      </c>
      <c r="I62" s="892"/>
      <c r="J62" s="887"/>
      <c r="K62" s="887"/>
      <c r="L62" s="891">
        <f t="shared" si="7"/>
        <v>0</v>
      </c>
      <c r="M62" s="891"/>
      <c r="N62" s="891">
        <f t="shared" si="11"/>
        <v>0</v>
      </c>
      <c r="O62" s="891"/>
      <c r="P62" s="890">
        <f t="shared" si="8"/>
        <v>0</v>
      </c>
      <c r="Q62" s="919"/>
      <c r="R62" s="918"/>
    </row>
    <row r="63" spans="1:18">
      <c r="A63" s="1323">
        <f t="shared" si="0"/>
        <v>59</v>
      </c>
      <c r="B63" s="888" t="s">
        <v>151</v>
      </c>
      <c r="C63" s="887"/>
      <c r="D63" s="957">
        <f t="shared" si="12"/>
        <v>4</v>
      </c>
      <c r="E63" s="887"/>
      <c r="F63" s="893">
        <f t="shared" si="9"/>
        <v>0</v>
      </c>
      <c r="G63" s="893"/>
      <c r="H63" s="892">
        <f t="shared" si="10"/>
        <v>0</v>
      </c>
      <c r="I63" s="892"/>
      <c r="J63" s="887"/>
      <c r="K63" s="887"/>
      <c r="L63" s="891">
        <f t="shared" si="7"/>
        <v>0</v>
      </c>
      <c r="M63" s="891"/>
      <c r="N63" s="891">
        <f t="shared" si="11"/>
        <v>0</v>
      </c>
      <c r="O63" s="891"/>
      <c r="P63" s="890">
        <f t="shared" si="8"/>
        <v>0</v>
      </c>
      <c r="Q63" s="919"/>
      <c r="R63" s="918"/>
    </row>
    <row r="64" spans="1:18">
      <c r="A64" s="1323">
        <f t="shared" si="0"/>
        <v>60</v>
      </c>
      <c r="B64" s="888" t="s">
        <v>150</v>
      </c>
      <c r="C64" s="887"/>
      <c r="D64" s="957">
        <f t="shared" si="12"/>
        <v>4</v>
      </c>
      <c r="E64" s="887"/>
      <c r="F64" s="893">
        <f t="shared" si="9"/>
        <v>0</v>
      </c>
      <c r="G64" s="893"/>
      <c r="H64" s="892">
        <f t="shared" si="10"/>
        <v>0</v>
      </c>
      <c r="I64" s="892"/>
      <c r="J64" s="887"/>
      <c r="K64" s="887"/>
      <c r="L64" s="891">
        <f t="shared" si="7"/>
        <v>0</v>
      </c>
      <c r="M64" s="891"/>
      <c r="N64" s="891">
        <f t="shared" si="11"/>
        <v>0</v>
      </c>
      <c r="O64" s="891"/>
      <c r="P64" s="890">
        <f t="shared" si="8"/>
        <v>0</v>
      </c>
      <c r="Q64" s="919"/>
      <c r="R64" s="918"/>
    </row>
    <row r="65" spans="1:18">
      <c r="A65" s="1323">
        <f t="shared" si="0"/>
        <v>61</v>
      </c>
      <c r="B65" s="888" t="s">
        <v>161</v>
      </c>
      <c r="C65" s="887"/>
      <c r="D65" s="957">
        <f t="shared" si="12"/>
        <v>4</v>
      </c>
      <c r="E65" s="887"/>
      <c r="F65" s="893">
        <f t="shared" si="9"/>
        <v>0</v>
      </c>
      <c r="G65" s="893"/>
      <c r="H65" s="892">
        <f t="shared" si="10"/>
        <v>0</v>
      </c>
      <c r="I65" s="892"/>
      <c r="J65" s="887"/>
      <c r="K65" s="887"/>
      <c r="L65" s="891">
        <f t="shared" si="7"/>
        <v>0</v>
      </c>
      <c r="M65" s="891"/>
      <c r="N65" s="891">
        <f t="shared" si="11"/>
        <v>0</v>
      </c>
      <c r="O65" s="891"/>
      <c r="P65" s="890">
        <f t="shared" si="8"/>
        <v>0</v>
      </c>
      <c r="Q65" s="919"/>
      <c r="R65" s="918"/>
    </row>
    <row r="66" spans="1:18">
      <c r="A66" s="1323">
        <f t="shared" si="0"/>
        <v>62</v>
      </c>
      <c r="B66" s="888" t="s">
        <v>148</v>
      </c>
      <c r="C66" s="887"/>
      <c r="D66" s="957">
        <f t="shared" si="12"/>
        <v>4</v>
      </c>
      <c r="E66" s="887"/>
      <c r="F66" s="893">
        <f t="shared" si="9"/>
        <v>0</v>
      </c>
      <c r="G66" s="893"/>
      <c r="H66" s="892">
        <f t="shared" si="10"/>
        <v>0</v>
      </c>
      <c r="I66" s="892"/>
      <c r="J66" s="887"/>
      <c r="K66" s="887"/>
      <c r="L66" s="891">
        <f t="shared" si="7"/>
        <v>0</v>
      </c>
      <c r="M66" s="891"/>
      <c r="N66" s="891">
        <f t="shared" si="11"/>
        <v>0</v>
      </c>
      <c r="O66" s="891"/>
      <c r="P66" s="890">
        <f t="shared" si="8"/>
        <v>0</v>
      </c>
      <c r="Q66" s="919"/>
      <c r="R66" s="918"/>
    </row>
    <row r="67" spans="1:18">
      <c r="A67" s="1323">
        <f t="shared" si="0"/>
        <v>63</v>
      </c>
      <c r="B67" s="888" t="s">
        <v>146</v>
      </c>
      <c r="C67" s="887"/>
      <c r="D67" s="957">
        <f t="shared" si="12"/>
        <v>4</v>
      </c>
      <c r="E67" s="887"/>
      <c r="F67" s="893">
        <f t="shared" si="9"/>
        <v>0</v>
      </c>
      <c r="G67" s="893"/>
      <c r="H67" s="892">
        <f t="shared" si="10"/>
        <v>0</v>
      </c>
      <c r="I67" s="892"/>
      <c r="J67" s="887"/>
      <c r="K67" s="887"/>
      <c r="L67" s="894">
        <f t="shared" si="7"/>
        <v>0</v>
      </c>
      <c r="M67" s="891"/>
      <c r="N67" s="891">
        <f t="shared" si="11"/>
        <v>0</v>
      </c>
      <c r="O67" s="891"/>
      <c r="P67" s="890">
        <f t="shared" si="8"/>
        <v>0</v>
      </c>
      <c r="Q67" s="919"/>
      <c r="R67" s="918"/>
    </row>
    <row r="68" spans="1:18">
      <c r="A68" s="1323">
        <f t="shared" si="0"/>
        <v>64</v>
      </c>
      <c r="B68" s="888"/>
      <c r="C68" s="887"/>
      <c r="D68" s="887"/>
      <c r="E68" s="887"/>
      <c r="F68" s="893"/>
      <c r="G68" s="893"/>
      <c r="H68" s="892"/>
      <c r="I68" s="892"/>
      <c r="J68" s="887"/>
      <c r="K68" s="887"/>
      <c r="L68" s="891">
        <f>SUM(L56:L67)</f>
        <v>0</v>
      </c>
      <c r="M68" s="891"/>
      <c r="N68" s="891"/>
      <c r="O68" s="891"/>
      <c r="P68" s="890"/>
      <c r="Q68" s="919"/>
      <c r="R68" s="918"/>
    </row>
    <row r="69" spans="1:18">
      <c r="A69" s="1323">
        <f t="shared" si="0"/>
        <v>65</v>
      </c>
      <c r="B69" s="889"/>
      <c r="C69" s="885"/>
      <c r="D69" s="885"/>
      <c r="E69" s="885"/>
      <c r="F69" s="885"/>
      <c r="G69" s="885"/>
      <c r="H69" s="885"/>
      <c r="I69" s="885"/>
      <c r="J69" s="885"/>
      <c r="K69" s="885"/>
      <c r="L69" s="885"/>
      <c r="M69" s="885"/>
      <c r="N69" s="885"/>
      <c r="O69" s="885"/>
      <c r="P69" s="884"/>
      <c r="Q69" s="878"/>
    </row>
    <row r="70" spans="1:18">
      <c r="A70" s="1323">
        <f t="shared" si="0"/>
        <v>66</v>
      </c>
      <c r="B70" s="888" t="s">
        <v>584</v>
      </c>
      <c r="C70" s="887"/>
      <c r="D70" s="885"/>
      <c r="E70" s="885"/>
      <c r="F70" s="885"/>
      <c r="G70" s="885"/>
      <c r="H70" s="885"/>
      <c r="I70" s="885"/>
      <c r="J70" s="885"/>
      <c r="K70" s="885"/>
      <c r="L70" s="885"/>
      <c r="M70" s="885"/>
      <c r="N70" s="886">
        <f>SUM(N56:N67)</f>
        <v>0</v>
      </c>
      <c r="O70" s="885"/>
      <c r="P70" s="884"/>
      <c r="Q70" s="878"/>
    </row>
    <row r="71" spans="1:18">
      <c r="A71" s="1323">
        <f t="shared" ref="A71:A134" si="13">+A70+1</f>
        <v>67</v>
      </c>
      <c r="B71" s="888" t="s">
        <v>266</v>
      </c>
      <c r="C71" s="887"/>
      <c r="D71" s="885"/>
      <c r="E71" s="885"/>
      <c r="F71" s="885"/>
      <c r="G71" s="885"/>
      <c r="H71" s="885"/>
      <c r="I71" s="885"/>
      <c r="J71" s="885"/>
      <c r="K71" s="885"/>
      <c r="L71" s="885"/>
      <c r="M71" s="885"/>
      <c r="N71" s="886">
        <f>L10</f>
        <v>0</v>
      </c>
      <c r="O71" s="885"/>
      <c r="P71" s="884"/>
      <c r="Q71" s="878"/>
    </row>
    <row r="72" spans="1:18">
      <c r="A72" s="1323">
        <f t="shared" si="13"/>
        <v>68</v>
      </c>
      <c r="B72" s="883" t="s">
        <v>267</v>
      </c>
      <c r="C72" s="882"/>
      <c r="D72" s="880"/>
      <c r="E72" s="880"/>
      <c r="F72" s="880"/>
      <c r="G72" s="880"/>
      <c r="H72" s="880"/>
      <c r="I72" s="880"/>
      <c r="J72" s="880"/>
      <c r="K72" s="880"/>
      <c r="L72" s="880"/>
      <c r="M72" s="880"/>
      <c r="N72" s="881">
        <f>(N70+N71)</f>
        <v>0</v>
      </c>
      <c r="O72" s="880"/>
      <c r="P72" s="879"/>
      <c r="Q72" s="878"/>
    </row>
    <row r="73" spans="1:18">
      <c r="A73" s="1323">
        <f t="shared" si="13"/>
        <v>69</v>
      </c>
      <c r="B73" s="878"/>
      <c r="C73" s="878"/>
      <c r="D73" s="878"/>
      <c r="E73" s="878"/>
      <c r="F73" s="878"/>
      <c r="G73" s="878"/>
      <c r="H73" s="878"/>
      <c r="I73" s="878"/>
      <c r="J73" s="878"/>
      <c r="K73" s="878"/>
      <c r="L73" s="878"/>
      <c r="M73" s="878"/>
      <c r="N73" s="878"/>
      <c r="O73" s="878"/>
      <c r="P73" s="878"/>
      <c r="Q73" s="878"/>
    </row>
    <row r="74" spans="1:18">
      <c r="A74" s="1323">
        <f t="shared" si="13"/>
        <v>70</v>
      </c>
      <c r="O74" s="878"/>
      <c r="P74" s="878"/>
      <c r="Q74" s="878"/>
    </row>
    <row r="75" spans="1:18">
      <c r="A75" s="1323">
        <f t="shared" si="13"/>
        <v>71</v>
      </c>
      <c r="B75" s="1616" t="s">
        <v>825</v>
      </c>
      <c r="C75" s="1616"/>
      <c r="D75" s="1616"/>
      <c r="E75" s="1616"/>
      <c r="F75" s="1616"/>
      <c r="G75" s="1616"/>
      <c r="H75" s="1616"/>
      <c r="I75" s="1616"/>
      <c r="J75" s="1616"/>
      <c r="K75" s="1616"/>
      <c r="L75" s="1616"/>
      <c r="M75" s="1616"/>
      <c r="N75" s="1616"/>
      <c r="O75" s="878"/>
      <c r="P75" s="878"/>
      <c r="Q75" s="878"/>
    </row>
    <row r="76" spans="1:18">
      <c r="A76" s="1323">
        <f t="shared" si="13"/>
        <v>72</v>
      </c>
      <c r="B76" s="1621" t="str">
        <f>+B3</f>
        <v>MidAmerican Central California Transco, LLC</v>
      </c>
      <c r="C76" s="1621"/>
      <c r="D76" s="1621"/>
      <c r="E76" s="1621"/>
      <c r="F76" s="1621"/>
      <c r="G76" s="1621"/>
      <c r="H76" s="1621"/>
      <c r="I76" s="1621"/>
      <c r="J76" s="1621"/>
      <c r="K76" s="1621"/>
      <c r="L76" s="1621"/>
      <c r="M76" s="1621"/>
      <c r="N76" s="1621"/>
      <c r="O76" s="878"/>
      <c r="P76" s="878"/>
      <c r="Q76" s="878"/>
    </row>
    <row r="77" spans="1:18">
      <c r="A77" s="1323">
        <f t="shared" si="13"/>
        <v>73</v>
      </c>
      <c r="B77" s="1616"/>
      <c r="C77" s="1616"/>
      <c r="D77" s="1616"/>
      <c r="E77" s="1616"/>
      <c r="F77" s="1616"/>
      <c r="G77" s="1616"/>
      <c r="H77" s="1616"/>
      <c r="I77" s="1616"/>
      <c r="J77" s="1616"/>
      <c r="K77" s="1616"/>
      <c r="L77" s="1616"/>
      <c r="M77" s="1616"/>
      <c r="N77" s="1616"/>
      <c r="O77" s="878"/>
      <c r="P77" s="878"/>
      <c r="Q77" s="878"/>
    </row>
    <row r="78" spans="1:18">
      <c r="A78" s="1323">
        <f t="shared" si="13"/>
        <v>74</v>
      </c>
      <c r="B78" s="917"/>
      <c r="C78" s="917"/>
      <c r="D78" s="914"/>
      <c r="E78" s="914"/>
      <c r="F78" s="914"/>
      <c r="G78" s="914"/>
      <c r="H78" s="916"/>
      <c r="I78" s="916"/>
      <c r="J78" s="914"/>
      <c r="K78" s="914"/>
      <c r="L78" s="914"/>
      <c r="M78" s="914"/>
      <c r="N78" s="915"/>
      <c r="O78" s="914"/>
      <c r="P78" s="914"/>
      <c r="Q78" s="878"/>
    </row>
    <row r="79" spans="1:18">
      <c r="A79" s="1323">
        <f t="shared" si="13"/>
        <v>75</v>
      </c>
      <c r="B79" s="913" t="s">
        <v>595</v>
      </c>
      <c r="C79" s="905"/>
      <c r="D79" s="903"/>
      <c r="E79" s="903"/>
      <c r="F79" s="903"/>
      <c r="G79" s="903"/>
      <c r="H79" s="887"/>
      <c r="I79" s="887"/>
      <c r="J79" s="887"/>
      <c r="K79" s="887"/>
      <c r="L79" s="904"/>
      <c r="M79" s="904"/>
      <c r="N79" s="903"/>
      <c r="O79" s="903"/>
      <c r="P79" s="902"/>
      <c r="Q79" s="878"/>
    </row>
    <row r="80" spans="1:18">
      <c r="A80" s="1323">
        <f t="shared" si="13"/>
        <v>76</v>
      </c>
      <c r="B80" s="907"/>
      <c r="C80" s="905"/>
      <c r="D80" s="903"/>
      <c r="E80" s="903"/>
      <c r="F80" s="903"/>
      <c r="G80" s="903"/>
      <c r="H80" s="887"/>
      <c r="I80" s="887"/>
      <c r="J80" s="887"/>
      <c r="K80" s="887"/>
      <c r="L80" s="904" t="s">
        <v>261</v>
      </c>
      <c r="M80" s="904"/>
      <c r="N80" s="903"/>
      <c r="O80" s="903"/>
      <c r="P80" s="902"/>
      <c r="Q80" s="878"/>
    </row>
    <row r="81" spans="1:17">
      <c r="A81" s="1323">
        <f t="shared" si="13"/>
        <v>77</v>
      </c>
      <c r="B81" s="906"/>
      <c r="C81" s="905"/>
      <c r="D81" s="903"/>
      <c r="E81" s="903"/>
      <c r="F81" s="903"/>
      <c r="G81" s="903"/>
      <c r="H81" s="887"/>
      <c r="I81" s="887"/>
      <c r="J81" s="887"/>
      <c r="K81" s="887"/>
      <c r="L81" s="904"/>
      <c r="M81" s="904"/>
      <c r="N81" s="903"/>
      <c r="O81" s="903"/>
      <c r="P81" s="902"/>
      <c r="Q81" s="878"/>
    </row>
    <row r="82" spans="1:17">
      <c r="A82" s="1323">
        <f t="shared" si="13"/>
        <v>78</v>
      </c>
      <c r="B82" s="888" t="s">
        <v>156</v>
      </c>
      <c r="C82" s="887"/>
      <c r="D82" s="957">
        <f>+D48</f>
        <v>1</v>
      </c>
      <c r="E82" s="887"/>
      <c r="F82" s="891">
        <f>L11/12</f>
        <v>0</v>
      </c>
      <c r="G82" s="891"/>
      <c r="H82" s="892">
        <f>+H48</f>
        <v>0</v>
      </c>
      <c r="I82" s="892"/>
      <c r="J82" s="900">
        <v>12</v>
      </c>
      <c r="K82" s="887"/>
      <c r="L82" s="891">
        <f t="shared" ref="L82:L93" si="14">H82*F82*J82*-1</f>
        <v>0</v>
      </c>
      <c r="M82" s="891"/>
      <c r="N82" s="891"/>
      <c r="O82" s="891"/>
      <c r="P82" s="890">
        <f t="shared" ref="P82:P93" si="15">(-L82+F82)*-1</f>
        <v>0</v>
      </c>
      <c r="Q82" s="878"/>
    </row>
    <row r="83" spans="1:17">
      <c r="A83" s="1323">
        <f t="shared" si="13"/>
        <v>79</v>
      </c>
      <c r="B83" s="888" t="s">
        <v>155</v>
      </c>
      <c r="C83" s="887"/>
      <c r="D83" s="957">
        <f>+D82</f>
        <v>1</v>
      </c>
      <c r="E83" s="887"/>
      <c r="F83" s="891">
        <f t="shared" ref="F83:F93" si="16">+F82</f>
        <v>0</v>
      </c>
      <c r="G83" s="891"/>
      <c r="H83" s="892">
        <f t="shared" ref="H83:H93" si="17">+H82</f>
        <v>0</v>
      </c>
      <c r="I83" s="892"/>
      <c r="J83" s="901">
        <f t="shared" ref="J83:J93" si="18">+J82-1</f>
        <v>11</v>
      </c>
      <c r="K83" s="885"/>
      <c r="L83" s="891">
        <f t="shared" si="14"/>
        <v>0</v>
      </c>
      <c r="M83" s="891"/>
      <c r="N83" s="891"/>
      <c r="O83" s="891"/>
      <c r="P83" s="890">
        <f t="shared" si="15"/>
        <v>0</v>
      </c>
      <c r="Q83" s="878"/>
    </row>
    <row r="84" spans="1:17">
      <c r="A84" s="1323">
        <f t="shared" si="13"/>
        <v>80</v>
      </c>
      <c r="B84" s="888" t="s">
        <v>154</v>
      </c>
      <c r="C84" s="887"/>
      <c r="D84" s="957">
        <f t="shared" ref="D84:D93" si="19">+D83</f>
        <v>1</v>
      </c>
      <c r="E84" s="887"/>
      <c r="F84" s="891">
        <f t="shared" si="16"/>
        <v>0</v>
      </c>
      <c r="G84" s="891"/>
      <c r="H84" s="892">
        <f t="shared" si="17"/>
        <v>0</v>
      </c>
      <c r="I84" s="892"/>
      <c r="J84" s="901">
        <f t="shared" si="18"/>
        <v>10</v>
      </c>
      <c r="K84" s="885"/>
      <c r="L84" s="891">
        <f t="shared" si="14"/>
        <v>0</v>
      </c>
      <c r="M84" s="891"/>
      <c r="N84" s="891"/>
      <c r="O84" s="891"/>
      <c r="P84" s="890">
        <f t="shared" si="15"/>
        <v>0</v>
      </c>
      <c r="Q84" s="878"/>
    </row>
    <row r="85" spans="1:17">
      <c r="A85" s="1323">
        <f t="shared" si="13"/>
        <v>81</v>
      </c>
      <c r="B85" s="888" t="s">
        <v>134</v>
      </c>
      <c r="C85" s="887"/>
      <c r="D85" s="957">
        <f t="shared" si="19"/>
        <v>1</v>
      </c>
      <c r="E85" s="887"/>
      <c r="F85" s="891">
        <f t="shared" si="16"/>
        <v>0</v>
      </c>
      <c r="G85" s="891"/>
      <c r="H85" s="892">
        <f t="shared" si="17"/>
        <v>0</v>
      </c>
      <c r="I85" s="892"/>
      <c r="J85" s="901">
        <f t="shared" si="18"/>
        <v>9</v>
      </c>
      <c r="K85" s="885"/>
      <c r="L85" s="891">
        <f t="shared" si="14"/>
        <v>0</v>
      </c>
      <c r="M85" s="891"/>
      <c r="N85" s="891"/>
      <c r="O85" s="891"/>
      <c r="P85" s="890">
        <f t="shared" si="15"/>
        <v>0</v>
      </c>
      <c r="Q85" s="878"/>
    </row>
    <row r="86" spans="1:17">
      <c r="A86" s="1323">
        <f t="shared" si="13"/>
        <v>82</v>
      </c>
      <c r="B86" s="888" t="s">
        <v>131</v>
      </c>
      <c r="C86" s="887"/>
      <c r="D86" s="957">
        <f t="shared" si="19"/>
        <v>1</v>
      </c>
      <c r="E86" s="887"/>
      <c r="F86" s="891">
        <f t="shared" si="16"/>
        <v>0</v>
      </c>
      <c r="G86" s="891"/>
      <c r="H86" s="892">
        <f t="shared" si="17"/>
        <v>0</v>
      </c>
      <c r="I86" s="892"/>
      <c r="J86" s="901">
        <f t="shared" si="18"/>
        <v>8</v>
      </c>
      <c r="K86" s="885"/>
      <c r="L86" s="891">
        <f t="shared" si="14"/>
        <v>0</v>
      </c>
      <c r="M86" s="891"/>
      <c r="N86" s="891"/>
      <c r="O86" s="891"/>
      <c r="P86" s="890">
        <f t="shared" si="15"/>
        <v>0</v>
      </c>
      <c r="Q86" s="878"/>
    </row>
    <row r="87" spans="1:17">
      <c r="A87" s="1323">
        <f t="shared" si="13"/>
        <v>83</v>
      </c>
      <c r="B87" s="888" t="s">
        <v>262</v>
      </c>
      <c r="C87" s="887"/>
      <c r="D87" s="957">
        <f t="shared" si="19"/>
        <v>1</v>
      </c>
      <c r="E87" s="887"/>
      <c r="F87" s="891">
        <f t="shared" si="16"/>
        <v>0</v>
      </c>
      <c r="G87" s="891"/>
      <c r="H87" s="892">
        <f t="shared" si="17"/>
        <v>0</v>
      </c>
      <c r="I87" s="892"/>
      <c r="J87" s="901">
        <f t="shared" si="18"/>
        <v>7</v>
      </c>
      <c r="K87" s="885"/>
      <c r="L87" s="891">
        <f t="shared" si="14"/>
        <v>0</v>
      </c>
      <c r="M87" s="891"/>
      <c r="N87" s="891"/>
      <c r="O87" s="891"/>
      <c r="P87" s="890">
        <f t="shared" si="15"/>
        <v>0</v>
      </c>
      <c r="Q87" s="878"/>
    </row>
    <row r="88" spans="1:17">
      <c r="A88" s="1323">
        <f t="shared" si="13"/>
        <v>84</v>
      </c>
      <c r="B88" s="888" t="s">
        <v>152</v>
      </c>
      <c r="C88" s="887"/>
      <c r="D88" s="957">
        <f t="shared" si="19"/>
        <v>1</v>
      </c>
      <c r="E88" s="887"/>
      <c r="F88" s="891">
        <f t="shared" si="16"/>
        <v>0</v>
      </c>
      <c r="G88" s="891"/>
      <c r="H88" s="892">
        <f t="shared" si="17"/>
        <v>0</v>
      </c>
      <c r="I88" s="892"/>
      <c r="J88" s="901">
        <f t="shared" si="18"/>
        <v>6</v>
      </c>
      <c r="K88" s="885"/>
      <c r="L88" s="891">
        <f t="shared" si="14"/>
        <v>0</v>
      </c>
      <c r="M88" s="891"/>
      <c r="N88" s="891"/>
      <c r="O88" s="891"/>
      <c r="P88" s="890">
        <f t="shared" si="15"/>
        <v>0</v>
      </c>
      <c r="Q88" s="878"/>
    </row>
    <row r="89" spans="1:17">
      <c r="A89" s="1323">
        <f t="shared" si="13"/>
        <v>85</v>
      </c>
      <c r="B89" s="888" t="s">
        <v>151</v>
      </c>
      <c r="C89" s="887"/>
      <c r="D89" s="957">
        <f t="shared" si="19"/>
        <v>1</v>
      </c>
      <c r="E89" s="887"/>
      <c r="F89" s="891">
        <f t="shared" si="16"/>
        <v>0</v>
      </c>
      <c r="G89" s="891"/>
      <c r="H89" s="892">
        <f t="shared" si="17"/>
        <v>0</v>
      </c>
      <c r="I89" s="892"/>
      <c r="J89" s="901">
        <f t="shared" si="18"/>
        <v>5</v>
      </c>
      <c r="K89" s="885"/>
      <c r="L89" s="891">
        <f t="shared" si="14"/>
        <v>0</v>
      </c>
      <c r="M89" s="891"/>
      <c r="N89" s="891"/>
      <c r="O89" s="891"/>
      <c r="P89" s="890">
        <f t="shared" si="15"/>
        <v>0</v>
      </c>
      <c r="Q89" s="878"/>
    </row>
    <row r="90" spans="1:17">
      <c r="A90" s="1323">
        <f t="shared" si="13"/>
        <v>86</v>
      </c>
      <c r="B90" s="888" t="s">
        <v>150</v>
      </c>
      <c r="C90" s="887"/>
      <c r="D90" s="957">
        <f t="shared" si="19"/>
        <v>1</v>
      </c>
      <c r="E90" s="887"/>
      <c r="F90" s="891">
        <f t="shared" si="16"/>
        <v>0</v>
      </c>
      <c r="G90" s="891"/>
      <c r="H90" s="892">
        <f t="shared" si="17"/>
        <v>0</v>
      </c>
      <c r="I90" s="892"/>
      <c r="J90" s="901">
        <f t="shared" si="18"/>
        <v>4</v>
      </c>
      <c r="K90" s="885"/>
      <c r="L90" s="891">
        <f t="shared" si="14"/>
        <v>0</v>
      </c>
      <c r="M90" s="891"/>
      <c r="N90" s="891"/>
      <c r="O90" s="891"/>
      <c r="P90" s="890">
        <f t="shared" si="15"/>
        <v>0</v>
      </c>
      <c r="Q90" s="878"/>
    </row>
    <row r="91" spans="1:17">
      <c r="A91" s="1323">
        <f t="shared" si="13"/>
        <v>87</v>
      </c>
      <c r="B91" s="888" t="s">
        <v>161</v>
      </c>
      <c r="C91" s="887"/>
      <c r="D91" s="957">
        <f t="shared" si="19"/>
        <v>1</v>
      </c>
      <c r="E91" s="887"/>
      <c r="F91" s="891">
        <f t="shared" si="16"/>
        <v>0</v>
      </c>
      <c r="G91" s="891"/>
      <c r="H91" s="892">
        <f t="shared" si="17"/>
        <v>0</v>
      </c>
      <c r="I91" s="892"/>
      <c r="J91" s="901">
        <f t="shared" si="18"/>
        <v>3</v>
      </c>
      <c r="K91" s="885"/>
      <c r="L91" s="891">
        <f t="shared" si="14"/>
        <v>0</v>
      </c>
      <c r="M91" s="891"/>
      <c r="N91" s="891"/>
      <c r="O91" s="891"/>
      <c r="P91" s="890">
        <f t="shared" si="15"/>
        <v>0</v>
      </c>
      <c r="Q91" s="878"/>
    </row>
    <row r="92" spans="1:17">
      <c r="A92" s="1323">
        <f t="shared" si="13"/>
        <v>88</v>
      </c>
      <c r="B92" s="888" t="s">
        <v>148</v>
      </c>
      <c r="C92" s="887"/>
      <c r="D92" s="957">
        <f t="shared" si="19"/>
        <v>1</v>
      </c>
      <c r="E92" s="887"/>
      <c r="F92" s="891">
        <f t="shared" si="16"/>
        <v>0</v>
      </c>
      <c r="G92" s="891"/>
      <c r="H92" s="892">
        <f t="shared" si="17"/>
        <v>0</v>
      </c>
      <c r="I92" s="892"/>
      <c r="J92" s="901">
        <f t="shared" si="18"/>
        <v>2</v>
      </c>
      <c r="K92" s="885"/>
      <c r="L92" s="891">
        <f t="shared" si="14"/>
        <v>0</v>
      </c>
      <c r="M92" s="891"/>
      <c r="N92" s="891"/>
      <c r="O92" s="891"/>
      <c r="P92" s="890">
        <f t="shared" si="15"/>
        <v>0</v>
      </c>
      <c r="Q92" s="878"/>
    </row>
    <row r="93" spans="1:17">
      <c r="A93" s="1323">
        <f t="shared" si="13"/>
        <v>89</v>
      </c>
      <c r="B93" s="888" t="s">
        <v>146</v>
      </c>
      <c r="C93" s="887"/>
      <c r="D93" s="957">
        <f t="shared" si="19"/>
        <v>1</v>
      </c>
      <c r="E93" s="887"/>
      <c r="F93" s="891">
        <f t="shared" si="16"/>
        <v>0</v>
      </c>
      <c r="G93" s="891"/>
      <c r="H93" s="892">
        <f t="shared" si="17"/>
        <v>0</v>
      </c>
      <c r="I93" s="892"/>
      <c r="J93" s="901">
        <f t="shared" si="18"/>
        <v>1</v>
      </c>
      <c r="K93" s="885"/>
      <c r="L93" s="894">
        <f t="shared" si="14"/>
        <v>0</v>
      </c>
      <c r="M93" s="891"/>
      <c r="N93" s="891"/>
      <c r="O93" s="891"/>
      <c r="P93" s="890">
        <f t="shared" si="15"/>
        <v>0</v>
      </c>
      <c r="Q93" s="878"/>
    </row>
    <row r="94" spans="1:17">
      <c r="A94" s="1323">
        <f t="shared" si="13"/>
        <v>90</v>
      </c>
      <c r="B94" s="888"/>
      <c r="C94" s="887"/>
      <c r="D94" s="887"/>
      <c r="E94" s="887"/>
      <c r="F94" s="891"/>
      <c r="G94" s="891"/>
      <c r="H94" s="892"/>
      <c r="I94" s="892"/>
      <c r="J94" s="885"/>
      <c r="K94" s="885"/>
      <c r="L94" s="891">
        <f>SUM(L82:L93)</f>
        <v>0</v>
      </c>
      <c r="M94" s="891"/>
      <c r="N94" s="891"/>
      <c r="O94" s="891"/>
      <c r="P94" s="899">
        <f>SUM(P82:P93)</f>
        <v>0</v>
      </c>
      <c r="Q94" s="878"/>
    </row>
    <row r="95" spans="1:17">
      <c r="A95" s="1323">
        <f t="shared" si="13"/>
        <v>91</v>
      </c>
      <c r="B95" s="888"/>
      <c r="C95" s="887"/>
      <c r="D95" s="887"/>
      <c r="E95" s="887"/>
      <c r="F95" s="891"/>
      <c r="G95" s="891"/>
      <c r="H95" s="892"/>
      <c r="I95" s="892"/>
      <c r="J95" s="885"/>
      <c r="K95" s="885"/>
      <c r="L95" s="891"/>
      <c r="M95" s="891"/>
      <c r="N95" s="891"/>
      <c r="O95" s="891"/>
      <c r="P95" s="899"/>
      <c r="Q95" s="878"/>
    </row>
    <row r="96" spans="1:17">
      <c r="A96" s="1323">
        <f t="shared" si="13"/>
        <v>92</v>
      </c>
      <c r="B96" s="888"/>
      <c r="C96" s="887"/>
      <c r="D96" s="887"/>
      <c r="E96" s="887"/>
      <c r="F96" s="891"/>
      <c r="G96" s="891"/>
      <c r="H96" s="892"/>
      <c r="I96" s="892"/>
      <c r="J96" s="885"/>
      <c r="K96" s="885"/>
      <c r="L96" s="896" t="s">
        <v>263</v>
      </c>
      <c r="M96" s="891"/>
      <c r="N96" s="891"/>
      <c r="O96" s="891"/>
      <c r="P96" s="899"/>
      <c r="Q96" s="878"/>
    </row>
    <row r="97" spans="1:17">
      <c r="A97" s="1323">
        <f t="shared" si="13"/>
        <v>93</v>
      </c>
      <c r="B97" s="888"/>
      <c r="C97" s="887"/>
      <c r="D97" s="887"/>
      <c r="E97" s="887"/>
      <c r="F97" s="891"/>
      <c r="G97" s="891"/>
      <c r="H97" s="892"/>
      <c r="I97" s="892"/>
      <c r="J97" s="885"/>
      <c r="K97" s="885"/>
      <c r="L97" s="896"/>
      <c r="M97" s="891"/>
      <c r="N97" s="891"/>
      <c r="O97" s="891"/>
      <c r="P97" s="899"/>
      <c r="Q97" s="878"/>
    </row>
    <row r="98" spans="1:17">
      <c r="A98" s="1323">
        <f t="shared" si="13"/>
        <v>94</v>
      </c>
      <c r="B98" s="888" t="s">
        <v>264</v>
      </c>
      <c r="C98" s="887"/>
      <c r="D98" s="958">
        <f>+D93+1</f>
        <v>2</v>
      </c>
      <c r="E98" s="887"/>
      <c r="F98" s="893">
        <f>P94</f>
        <v>0</v>
      </c>
      <c r="G98" s="893"/>
      <c r="H98" s="892">
        <f>+H50</f>
        <v>0</v>
      </c>
      <c r="I98" s="892"/>
      <c r="J98" s="900">
        <v>12</v>
      </c>
      <c r="K98" s="887"/>
      <c r="L98" s="891">
        <f>+J98*H98*F98</f>
        <v>0</v>
      </c>
      <c r="M98" s="891"/>
      <c r="N98" s="891"/>
      <c r="O98" s="891"/>
      <c r="P98" s="899">
        <f>+F98+L98</f>
        <v>0</v>
      </c>
      <c r="Q98" s="878"/>
    </row>
    <row r="99" spans="1:17">
      <c r="A99" s="1323">
        <f t="shared" si="13"/>
        <v>95</v>
      </c>
      <c r="B99" s="888" t="s">
        <v>264</v>
      </c>
      <c r="C99" s="887"/>
      <c r="D99" s="958">
        <f>+D98+1</f>
        <v>3</v>
      </c>
      <c r="E99" s="887"/>
      <c r="F99" s="893">
        <f>P98</f>
        <v>0</v>
      </c>
      <c r="G99" s="893"/>
      <c r="H99" s="892">
        <f>+H98</f>
        <v>0</v>
      </c>
      <c r="I99" s="892"/>
      <c r="J99" s="900">
        <v>12</v>
      </c>
      <c r="K99" s="887"/>
      <c r="L99" s="891">
        <f>+J99*H99*F99</f>
        <v>0</v>
      </c>
      <c r="M99" s="891"/>
      <c r="N99" s="891"/>
      <c r="O99" s="891"/>
      <c r="P99" s="899">
        <f>+F99+L99</f>
        <v>0</v>
      </c>
      <c r="Q99" s="878"/>
    </row>
    <row r="100" spans="1:17">
      <c r="A100" s="1323">
        <f t="shared" si="13"/>
        <v>96</v>
      </c>
      <c r="B100" s="888"/>
      <c r="C100" s="887"/>
      <c r="D100" s="958"/>
      <c r="E100" s="887"/>
      <c r="F100" s="893"/>
      <c r="G100" s="893"/>
      <c r="H100" s="892"/>
      <c r="I100" s="892"/>
      <c r="J100" s="900"/>
      <c r="K100" s="887"/>
      <c r="L100" s="891"/>
      <c r="M100" s="891"/>
      <c r="N100" s="891"/>
      <c r="O100" s="891"/>
      <c r="P100" s="899"/>
      <c r="Q100" s="878"/>
    </row>
    <row r="101" spans="1:17">
      <c r="A101" s="1323">
        <f t="shared" si="13"/>
        <v>97</v>
      </c>
      <c r="B101" s="888"/>
      <c r="C101" s="887"/>
      <c r="D101" s="958"/>
      <c r="E101" s="887"/>
      <c r="F101" s="893"/>
      <c r="G101" s="893"/>
      <c r="H101" s="892"/>
      <c r="I101" s="892"/>
      <c r="J101" s="900"/>
      <c r="K101" s="887"/>
      <c r="L101" s="891"/>
      <c r="M101" s="891"/>
      <c r="N101" s="891"/>
      <c r="O101" s="891"/>
      <c r="P101" s="899"/>
      <c r="Q101" s="878"/>
    </row>
    <row r="102" spans="1:17">
      <c r="A102" s="1323">
        <f t="shared" si="13"/>
        <v>98</v>
      </c>
      <c r="B102" s="888"/>
      <c r="C102" s="887"/>
      <c r="D102" s="958"/>
      <c r="E102" s="887"/>
      <c r="F102" s="893"/>
      <c r="G102" s="893"/>
      <c r="H102" s="892"/>
      <c r="I102" s="892"/>
      <c r="J102" s="887"/>
      <c r="K102" s="887"/>
      <c r="L102" s="891"/>
      <c r="M102" s="891"/>
      <c r="N102" s="891"/>
      <c r="O102" s="891"/>
      <c r="P102" s="899"/>
      <c r="Q102" s="878"/>
    </row>
    <row r="103" spans="1:17">
      <c r="A103" s="1323">
        <f t="shared" si="13"/>
        <v>99</v>
      </c>
      <c r="B103" s="888"/>
      <c r="C103" s="887"/>
      <c r="D103" s="887"/>
      <c r="E103" s="887"/>
      <c r="F103" s="893"/>
      <c r="G103" s="893"/>
      <c r="H103" s="892"/>
      <c r="I103" s="892"/>
      <c r="J103" s="887"/>
      <c r="K103" s="887"/>
      <c r="L103" s="891"/>
      <c r="M103" s="891"/>
      <c r="N103" s="891"/>
      <c r="O103" s="891"/>
      <c r="P103" s="890"/>
      <c r="Q103" s="878"/>
    </row>
    <row r="104" spans="1:17">
      <c r="A104" s="1323">
        <f t="shared" si="13"/>
        <v>100</v>
      </c>
      <c r="B104" s="898" t="s">
        <v>265</v>
      </c>
      <c r="C104" s="897"/>
      <c r="D104" s="887"/>
      <c r="E104" s="887"/>
      <c r="F104" s="891"/>
      <c r="G104" s="891"/>
      <c r="H104" s="892"/>
      <c r="I104" s="892"/>
      <c r="J104" s="887"/>
      <c r="K104" s="887"/>
      <c r="L104" s="896" t="s">
        <v>261</v>
      </c>
      <c r="M104" s="896"/>
      <c r="N104" s="891"/>
      <c r="O104" s="891"/>
      <c r="P104" s="890"/>
      <c r="Q104" s="878"/>
    </row>
    <row r="105" spans="1:17">
      <c r="A105" s="1323">
        <f t="shared" si="13"/>
        <v>101</v>
      </c>
      <c r="B105" s="888" t="s">
        <v>156</v>
      </c>
      <c r="C105" s="887"/>
      <c r="D105" s="957">
        <f>+D99+1</f>
        <v>4</v>
      </c>
      <c r="E105" s="887"/>
      <c r="F105" s="895">
        <f>+P99</f>
        <v>0</v>
      </c>
      <c r="G105" s="893"/>
      <c r="H105" s="892">
        <f>+H99</f>
        <v>0</v>
      </c>
      <c r="I105" s="892"/>
      <c r="J105" s="887"/>
      <c r="K105" s="887"/>
      <c r="L105" s="891">
        <f t="shared" ref="L105:L116" si="20" xml:space="preserve"> -H105*F105</f>
        <v>0</v>
      </c>
      <c r="M105" s="891"/>
      <c r="N105" s="891">
        <f>-PMT(H105,12,P99)</f>
        <v>0</v>
      </c>
      <c r="O105" s="891"/>
      <c r="P105" s="890">
        <f t="shared" ref="P105:P116" si="21">(+F105+F105*H105+N105)*-1</f>
        <v>0</v>
      </c>
      <c r="Q105" s="878"/>
    </row>
    <row r="106" spans="1:17">
      <c r="A106" s="1323">
        <f t="shared" si="13"/>
        <v>102</v>
      </c>
      <c r="B106" s="888" t="s">
        <v>155</v>
      </c>
      <c r="C106" s="887"/>
      <c r="D106" s="957">
        <f>+D105</f>
        <v>4</v>
      </c>
      <c r="E106" s="887"/>
      <c r="F106" s="893">
        <f t="shared" ref="F106:F116" si="22">-P105</f>
        <v>0</v>
      </c>
      <c r="G106" s="893"/>
      <c r="H106" s="892">
        <f t="shared" ref="H106:H116" si="23">+H105</f>
        <v>0</v>
      </c>
      <c r="I106" s="892"/>
      <c r="J106" s="887"/>
      <c r="K106" s="887"/>
      <c r="L106" s="891">
        <f t="shared" si="20"/>
        <v>0</v>
      </c>
      <c r="M106" s="891"/>
      <c r="N106" s="891">
        <f t="shared" ref="N106:N116" si="24">N105</f>
        <v>0</v>
      </c>
      <c r="O106" s="891"/>
      <c r="P106" s="890">
        <f t="shared" si="21"/>
        <v>0</v>
      </c>
      <c r="Q106" s="878"/>
    </row>
    <row r="107" spans="1:17">
      <c r="A107" s="1323">
        <f t="shared" si="13"/>
        <v>103</v>
      </c>
      <c r="B107" s="888" t="s">
        <v>154</v>
      </c>
      <c r="C107" s="887"/>
      <c r="D107" s="957">
        <f t="shared" ref="D107:D116" si="25">+D106</f>
        <v>4</v>
      </c>
      <c r="E107" s="887"/>
      <c r="F107" s="893">
        <f t="shared" si="22"/>
        <v>0</v>
      </c>
      <c r="G107" s="893"/>
      <c r="H107" s="892">
        <f t="shared" si="23"/>
        <v>0</v>
      </c>
      <c r="I107" s="892"/>
      <c r="J107" s="887"/>
      <c r="K107" s="887"/>
      <c r="L107" s="891">
        <f t="shared" si="20"/>
        <v>0</v>
      </c>
      <c r="M107" s="891"/>
      <c r="N107" s="891">
        <f t="shared" si="24"/>
        <v>0</v>
      </c>
      <c r="O107" s="891"/>
      <c r="P107" s="890">
        <f t="shared" si="21"/>
        <v>0</v>
      </c>
      <c r="Q107" s="878"/>
    </row>
    <row r="108" spans="1:17">
      <c r="A108" s="1323">
        <f t="shared" si="13"/>
        <v>104</v>
      </c>
      <c r="B108" s="888" t="s">
        <v>134</v>
      </c>
      <c r="C108" s="887"/>
      <c r="D108" s="957">
        <f t="shared" si="25"/>
        <v>4</v>
      </c>
      <c r="E108" s="887"/>
      <c r="F108" s="893">
        <f t="shared" si="22"/>
        <v>0</v>
      </c>
      <c r="G108" s="893"/>
      <c r="H108" s="892">
        <f t="shared" si="23"/>
        <v>0</v>
      </c>
      <c r="I108" s="892"/>
      <c r="J108" s="887"/>
      <c r="K108" s="887"/>
      <c r="L108" s="891">
        <f t="shared" si="20"/>
        <v>0</v>
      </c>
      <c r="M108" s="891"/>
      <c r="N108" s="891">
        <f t="shared" si="24"/>
        <v>0</v>
      </c>
      <c r="O108" s="891"/>
      <c r="P108" s="890">
        <f t="shared" si="21"/>
        <v>0</v>
      </c>
      <c r="Q108" s="878"/>
    </row>
    <row r="109" spans="1:17">
      <c r="A109" s="1323">
        <f t="shared" si="13"/>
        <v>105</v>
      </c>
      <c r="B109" s="888" t="s">
        <v>131</v>
      </c>
      <c r="C109" s="887"/>
      <c r="D109" s="957">
        <f t="shared" si="25"/>
        <v>4</v>
      </c>
      <c r="E109" s="887"/>
      <c r="F109" s="893">
        <f t="shared" si="22"/>
        <v>0</v>
      </c>
      <c r="G109" s="893"/>
      <c r="H109" s="892">
        <f t="shared" si="23"/>
        <v>0</v>
      </c>
      <c r="I109" s="892"/>
      <c r="J109" s="887"/>
      <c r="K109" s="887"/>
      <c r="L109" s="891">
        <f t="shared" si="20"/>
        <v>0</v>
      </c>
      <c r="M109" s="891"/>
      <c r="N109" s="891">
        <f t="shared" si="24"/>
        <v>0</v>
      </c>
      <c r="O109" s="891"/>
      <c r="P109" s="890">
        <f t="shared" si="21"/>
        <v>0</v>
      </c>
      <c r="Q109" s="878"/>
    </row>
    <row r="110" spans="1:17">
      <c r="A110" s="1323">
        <f t="shared" si="13"/>
        <v>106</v>
      </c>
      <c r="B110" s="888" t="s">
        <v>262</v>
      </c>
      <c r="C110" s="887"/>
      <c r="D110" s="957">
        <f t="shared" si="25"/>
        <v>4</v>
      </c>
      <c r="E110" s="887"/>
      <c r="F110" s="893">
        <f t="shared" si="22"/>
        <v>0</v>
      </c>
      <c r="G110" s="893"/>
      <c r="H110" s="892">
        <f t="shared" si="23"/>
        <v>0</v>
      </c>
      <c r="I110" s="892"/>
      <c r="J110" s="887"/>
      <c r="K110" s="887"/>
      <c r="L110" s="891">
        <f t="shared" si="20"/>
        <v>0</v>
      </c>
      <c r="M110" s="891"/>
      <c r="N110" s="891">
        <f t="shared" si="24"/>
        <v>0</v>
      </c>
      <c r="O110" s="891"/>
      <c r="P110" s="890">
        <f t="shared" si="21"/>
        <v>0</v>
      </c>
      <c r="Q110" s="878"/>
    </row>
    <row r="111" spans="1:17">
      <c r="A111" s="1323">
        <f t="shared" si="13"/>
        <v>107</v>
      </c>
      <c r="B111" s="888" t="s">
        <v>152</v>
      </c>
      <c r="C111" s="887"/>
      <c r="D111" s="957">
        <f t="shared" si="25"/>
        <v>4</v>
      </c>
      <c r="E111" s="887"/>
      <c r="F111" s="893">
        <f t="shared" si="22"/>
        <v>0</v>
      </c>
      <c r="G111" s="893"/>
      <c r="H111" s="892">
        <f t="shared" si="23"/>
        <v>0</v>
      </c>
      <c r="I111" s="892"/>
      <c r="J111" s="887"/>
      <c r="K111" s="887"/>
      <c r="L111" s="891">
        <f t="shared" si="20"/>
        <v>0</v>
      </c>
      <c r="M111" s="891"/>
      <c r="N111" s="891">
        <f t="shared" si="24"/>
        <v>0</v>
      </c>
      <c r="O111" s="891"/>
      <c r="P111" s="890">
        <f t="shared" si="21"/>
        <v>0</v>
      </c>
      <c r="Q111" s="878"/>
    </row>
    <row r="112" spans="1:17">
      <c r="A112" s="1323">
        <f t="shared" si="13"/>
        <v>108</v>
      </c>
      <c r="B112" s="888" t="s">
        <v>151</v>
      </c>
      <c r="C112" s="887"/>
      <c r="D112" s="957">
        <f t="shared" si="25"/>
        <v>4</v>
      </c>
      <c r="E112" s="887"/>
      <c r="F112" s="893">
        <f t="shared" si="22"/>
        <v>0</v>
      </c>
      <c r="G112" s="893"/>
      <c r="H112" s="892">
        <f t="shared" si="23"/>
        <v>0</v>
      </c>
      <c r="I112" s="892"/>
      <c r="J112" s="887"/>
      <c r="K112" s="887"/>
      <c r="L112" s="891">
        <f t="shared" si="20"/>
        <v>0</v>
      </c>
      <c r="M112" s="891"/>
      <c r="N112" s="891">
        <f t="shared" si="24"/>
        <v>0</v>
      </c>
      <c r="O112" s="891"/>
      <c r="P112" s="890">
        <f t="shared" si="21"/>
        <v>0</v>
      </c>
      <c r="Q112" s="878"/>
    </row>
    <row r="113" spans="1:17">
      <c r="A113" s="1323">
        <f t="shared" si="13"/>
        <v>109</v>
      </c>
      <c r="B113" s="888" t="s">
        <v>150</v>
      </c>
      <c r="C113" s="887"/>
      <c r="D113" s="957">
        <f t="shared" si="25"/>
        <v>4</v>
      </c>
      <c r="E113" s="887"/>
      <c r="F113" s="893">
        <f t="shared" si="22"/>
        <v>0</v>
      </c>
      <c r="G113" s="893"/>
      <c r="H113" s="892">
        <f t="shared" si="23"/>
        <v>0</v>
      </c>
      <c r="I113" s="892"/>
      <c r="J113" s="887"/>
      <c r="K113" s="887"/>
      <c r="L113" s="891">
        <f t="shared" si="20"/>
        <v>0</v>
      </c>
      <c r="M113" s="891"/>
      <c r="N113" s="891">
        <f t="shared" si="24"/>
        <v>0</v>
      </c>
      <c r="O113" s="891"/>
      <c r="P113" s="890">
        <f t="shared" si="21"/>
        <v>0</v>
      </c>
      <c r="Q113" s="878"/>
    </row>
    <row r="114" spans="1:17">
      <c r="A114" s="1323">
        <f t="shared" si="13"/>
        <v>110</v>
      </c>
      <c r="B114" s="888" t="s">
        <v>161</v>
      </c>
      <c r="C114" s="887"/>
      <c r="D114" s="957">
        <f t="shared" si="25"/>
        <v>4</v>
      </c>
      <c r="E114" s="887"/>
      <c r="F114" s="893">
        <f t="shared" si="22"/>
        <v>0</v>
      </c>
      <c r="G114" s="893"/>
      <c r="H114" s="892">
        <f t="shared" si="23"/>
        <v>0</v>
      </c>
      <c r="I114" s="892"/>
      <c r="J114" s="887"/>
      <c r="K114" s="887"/>
      <c r="L114" s="891">
        <f t="shared" si="20"/>
        <v>0</v>
      </c>
      <c r="M114" s="891"/>
      <c r="N114" s="891">
        <f t="shared" si="24"/>
        <v>0</v>
      </c>
      <c r="O114" s="891"/>
      <c r="P114" s="890">
        <f t="shared" si="21"/>
        <v>0</v>
      </c>
      <c r="Q114" s="878"/>
    </row>
    <row r="115" spans="1:17">
      <c r="A115" s="1323">
        <f t="shared" si="13"/>
        <v>111</v>
      </c>
      <c r="B115" s="888" t="s">
        <v>148</v>
      </c>
      <c r="C115" s="887"/>
      <c r="D115" s="957">
        <f t="shared" si="25"/>
        <v>4</v>
      </c>
      <c r="E115" s="887"/>
      <c r="F115" s="893">
        <f t="shared" si="22"/>
        <v>0</v>
      </c>
      <c r="G115" s="893"/>
      <c r="H115" s="892">
        <f t="shared" si="23"/>
        <v>0</v>
      </c>
      <c r="I115" s="892"/>
      <c r="J115" s="887"/>
      <c r="K115" s="887"/>
      <c r="L115" s="891">
        <f t="shared" si="20"/>
        <v>0</v>
      </c>
      <c r="M115" s="891"/>
      <c r="N115" s="891">
        <f t="shared" si="24"/>
        <v>0</v>
      </c>
      <c r="O115" s="891"/>
      <c r="P115" s="890">
        <f t="shared" si="21"/>
        <v>0</v>
      </c>
      <c r="Q115" s="878"/>
    </row>
    <row r="116" spans="1:17">
      <c r="A116" s="1323">
        <f t="shared" si="13"/>
        <v>112</v>
      </c>
      <c r="B116" s="888" t="s">
        <v>146</v>
      </c>
      <c r="C116" s="887"/>
      <c r="D116" s="957">
        <f t="shared" si="25"/>
        <v>4</v>
      </c>
      <c r="E116" s="887"/>
      <c r="F116" s="893">
        <f t="shared" si="22"/>
        <v>0</v>
      </c>
      <c r="G116" s="893"/>
      <c r="H116" s="892">
        <f t="shared" si="23"/>
        <v>0</v>
      </c>
      <c r="I116" s="892"/>
      <c r="J116" s="887"/>
      <c r="K116" s="887"/>
      <c r="L116" s="894">
        <f t="shared" si="20"/>
        <v>0</v>
      </c>
      <c r="M116" s="891"/>
      <c r="N116" s="891">
        <f t="shared" si="24"/>
        <v>0</v>
      </c>
      <c r="O116" s="891"/>
      <c r="P116" s="890">
        <f t="shared" si="21"/>
        <v>0</v>
      </c>
      <c r="Q116" s="878"/>
    </row>
    <row r="117" spans="1:17">
      <c r="A117" s="1323">
        <f t="shared" si="13"/>
        <v>113</v>
      </c>
      <c r="B117" s="888"/>
      <c r="C117" s="887"/>
      <c r="D117" s="887"/>
      <c r="E117" s="887"/>
      <c r="F117" s="893"/>
      <c r="G117" s="893"/>
      <c r="H117" s="892"/>
      <c r="I117" s="892"/>
      <c r="J117" s="887"/>
      <c r="K117" s="887"/>
      <c r="L117" s="891">
        <f>SUM(L105:L116)</f>
        <v>0</v>
      </c>
      <c r="M117" s="891"/>
      <c r="N117" s="891"/>
      <c r="O117" s="891"/>
      <c r="P117" s="890"/>
      <c r="Q117" s="878"/>
    </row>
    <row r="118" spans="1:17">
      <c r="A118" s="1323">
        <f t="shared" si="13"/>
        <v>114</v>
      </c>
      <c r="B118" s="889"/>
      <c r="C118" s="885"/>
      <c r="D118" s="885"/>
      <c r="E118" s="885"/>
      <c r="F118" s="885"/>
      <c r="G118" s="885"/>
      <c r="H118" s="885"/>
      <c r="I118" s="885"/>
      <c r="J118" s="885"/>
      <c r="K118" s="885"/>
      <c r="L118" s="885"/>
      <c r="M118" s="885"/>
      <c r="N118" s="885"/>
      <c r="O118" s="885"/>
      <c r="P118" s="884"/>
      <c r="Q118" s="878"/>
    </row>
    <row r="119" spans="1:17">
      <c r="A119" s="1323">
        <f t="shared" si="13"/>
        <v>115</v>
      </c>
      <c r="B119" s="888" t="s">
        <v>584</v>
      </c>
      <c r="C119" s="887"/>
      <c r="D119" s="885"/>
      <c r="E119" s="885"/>
      <c r="F119" s="885"/>
      <c r="G119" s="885"/>
      <c r="H119" s="885"/>
      <c r="I119" s="885"/>
      <c r="J119" s="885"/>
      <c r="K119" s="885"/>
      <c r="L119" s="885"/>
      <c r="M119" s="885"/>
      <c r="N119" s="886">
        <f>SUM(N105:N116)</f>
        <v>0</v>
      </c>
      <c r="O119" s="885"/>
      <c r="P119" s="884"/>
      <c r="Q119" s="878"/>
    </row>
    <row r="120" spans="1:17">
      <c r="A120" s="1323">
        <f t="shared" si="13"/>
        <v>116</v>
      </c>
      <c r="B120" s="888" t="s">
        <v>266</v>
      </c>
      <c r="C120" s="887"/>
      <c r="D120" s="885"/>
      <c r="E120" s="885"/>
      <c r="F120" s="885"/>
      <c r="G120" s="885"/>
      <c r="H120" s="885"/>
      <c r="I120" s="885"/>
      <c r="J120" s="885"/>
      <c r="K120" s="885"/>
      <c r="L120" s="885"/>
      <c r="M120" s="885"/>
      <c r="N120" s="886">
        <f>L11</f>
        <v>0</v>
      </c>
      <c r="O120" s="885"/>
      <c r="P120" s="884"/>
      <c r="Q120" s="878"/>
    </row>
    <row r="121" spans="1:17">
      <c r="A121" s="1323">
        <f t="shared" si="13"/>
        <v>117</v>
      </c>
      <c r="B121" s="883" t="s">
        <v>267</v>
      </c>
      <c r="C121" s="882"/>
      <c r="D121" s="880"/>
      <c r="E121" s="880"/>
      <c r="F121" s="880"/>
      <c r="G121" s="880"/>
      <c r="H121" s="880"/>
      <c r="I121" s="880"/>
      <c r="J121" s="880"/>
      <c r="K121" s="880"/>
      <c r="L121" s="880"/>
      <c r="M121" s="880"/>
      <c r="N121" s="881">
        <f>(N119+N120)</f>
        <v>0</v>
      </c>
      <c r="O121" s="880"/>
      <c r="P121" s="879"/>
      <c r="Q121" s="878"/>
    </row>
    <row r="122" spans="1:17">
      <c r="A122" s="1323">
        <f t="shared" si="13"/>
        <v>118</v>
      </c>
      <c r="Q122" s="878"/>
    </row>
    <row r="123" spans="1:17">
      <c r="A123" s="1323">
        <f t="shared" si="13"/>
        <v>119</v>
      </c>
      <c r="Q123" s="878"/>
    </row>
    <row r="124" spans="1:17">
      <c r="A124" s="1323">
        <f t="shared" si="13"/>
        <v>120</v>
      </c>
      <c r="B124" s="913" t="s">
        <v>595</v>
      </c>
      <c r="C124" s="912"/>
      <c r="D124" s="909"/>
      <c r="E124" s="909"/>
      <c r="F124" s="909"/>
      <c r="G124" s="909"/>
      <c r="H124" s="911"/>
      <c r="I124" s="911"/>
      <c r="J124" s="911"/>
      <c r="K124" s="911"/>
      <c r="L124" s="910"/>
      <c r="M124" s="910"/>
      <c r="N124" s="909"/>
      <c r="O124" s="909"/>
      <c r="P124" s="908"/>
      <c r="Q124" s="878"/>
    </row>
    <row r="125" spans="1:17">
      <c r="A125" s="1323">
        <f t="shared" si="13"/>
        <v>121</v>
      </c>
      <c r="B125" s="907"/>
      <c r="C125" s="905"/>
      <c r="D125" s="903"/>
      <c r="E125" s="903"/>
      <c r="F125" s="903"/>
      <c r="G125" s="903"/>
      <c r="H125" s="887"/>
      <c r="I125" s="887"/>
      <c r="J125" s="887"/>
      <c r="K125" s="887"/>
      <c r="L125" s="904" t="s">
        <v>261</v>
      </c>
      <c r="M125" s="904"/>
      <c r="N125" s="903"/>
      <c r="O125" s="903"/>
      <c r="P125" s="902"/>
      <c r="Q125" s="878"/>
    </row>
    <row r="126" spans="1:17">
      <c r="A126" s="1323">
        <f t="shared" si="13"/>
        <v>122</v>
      </c>
      <c r="B126" s="906"/>
      <c r="C126" s="905"/>
      <c r="D126" s="903"/>
      <c r="E126" s="903"/>
      <c r="F126" s="903"/>
      <c r="G126" s="903"/>
      <c r="H126" s="887"/>
      <c r="I126" s="887"/>
      <c r="J126" s="887"/>
      <c r="K126" s="887"/>
      <c r="L126" s="904"/>
      <c r="M126" s="904"/>
      <c r="N126" s="903"/>
      <c r="O126" s="903"/>
      <c r="P126" s="902"/>
      <c r="Q126" s="878"/>
    </row>
    <row r="127" spans="1:17">
      <c r="A127" s="1323">
        <f t="shared" si="13"/>
        <v>123</v>
      </c>
      <c r="B127" s="888" t="s">
        <v>156</v>
      </c>
      <c r="C127" s="887"/>
      <c r="D127" s="957">
        <f>+D98</f>
        <v>2</v>
      </c>
      <c r="E127" s="887"/>
      <c r="F127" s="891">
        <f>L12/12</f>
        <v>0</v>
      </c>
      <c r="G127" s="891"/>
      <c r="H127" s="892">
        <f>N12</f>
        <v>0</v>
      </c>
      <c r="I127" s="892"/>
      <c r="J127" s="900">
        <v>12</v>
      </c>
      <c r="K127" s="887"/>
      <c r="L127" s="891">
        <f t="shared" ref="L127:L138" si="26">H127*F127*J127*-1</f>
        <v>0</v>
      </c>
      <c r="M127" s="891"/>
      <c r="N127" s="891"/>
      <c r="O127" s="891"/>
      <c r="P127" s="890">
        <f t="shared" ref="P127:P138" si="27">(-L127+F127)*-1</f>
        <v>0</v>
      </c>
      <c r="Q127" s="878"/>
    </row>
    <row r="128" spans="1:17">
      <c r="A128" s="1323">
        <f t="shared" si="13"/>
        <v>124</v>
      </c>
      <c r="B128" s="888" t="s">
        <v>155</v>
      </c>
      <c r="C128" s="887"/>
      <c r="D128" s="957">
        <f>+D127</f>
        <v>2</v>
      </c>
      <c r="E128" s="887"/>
      <c r="F128" s="891">
        <f t="shared" ref="F128:F138" si="28">+F127</f>
        <v>0</v>
      </c>
      <c r="G128" s="891"/>
      <c r="H128" s="892">
        <f t="shared" ref="H128:H138" si="29">+H127</f>
        <v>0</v>
      </c>
      <c r="I128" s="892"/>
      <c r="J128" s="901">
        <f t="shared" ref="J128:J138" si="30">+J127-1</f>
        <v>11</v>
      </c>
      <c r="K128" s="885"/>
      <c r="L128" s="891">
        <f t="shared" si="26"/>
        <v>0</v>
      </c>
      <c r="M128" s="891"/>
      <c r="N128" s="891"/>
      <c r="O128" s="891"/>
      <c r="P128" s="890">
        <f t="shared" si="27"/>
        <v>0</v>
      </c>
      <c r="Q128" s="878"/>
    </row>
    <row r="129" spans="1:17">
      <c r="A129" s="1323">
        <f t="shared" si="13"/>
        <v>125</v>
      </c>
      <c r="B129" s="888" t="s">
        <v>154</v>
      </c>
      <c r="C129" s="887"/>
      <c r="D129" s="957">
        <f t="shared" ref="D129:D138" si="31">+D128</f>
        <v>2</v>
      </c>
      <c r="E129" s="887"/>
      <c r="F129" s="891">
        <f t="shared" si="28"/>
        <v>0</v>
      </c>
      <c r="G129" s="891"/>
      <c r="H129" s="892">
        <f t="shared" si="29"/>
        <v>0</v>
      </c>
      <c r="I129" s="892"/>
      <c r="J129" s="901">
        <f t="shared" si="30"/>
        <v>10</v>
      </c>
      <c r="K129" s="885"/>
      <c r="L129" s="891">
        <f t="shared" si="26"/>
        <v>0</v>
      </c>
      <c r="M129" s="891"/>
      <c r="N129" s="891"/>
      <c r="O129" s="891"/>
      <c r="P129" s="890">
        <f t="shared" si="27"/>
        <v>0</v>
      </c>
      <c r="Q129" s="878"/>
    </row>
    <row r="130" spans="1:17">
      <c r="A130" s="1323">
        <f t="shared" si="13"/>
        <v>126</v>
      </c>
      <c r="B130" s="888" t="s">
        <v>134</v>
      </c>
      <c r="C130" s="887"/>
      <c r="D130" s="957">
        <f t="shared" si="31"/>
        <v>2</v>
      </c>
      <c r="E130" s="887"/>
      <c r="F130" s="891">
        <f t="shared" si="28"/>
        <v>0</v>
      </c>
      <c r="G130" s="891"/>
      <c r="H130" s="892">
        <f t="shared" si="29"/>
        <v>0</v>
      </c>
      <c r="I130" s="892"/>
      <c r="J130" s="901">
        <f t="shared" si="30"/>
        <v>9</v>
      </c>
      <c r="K130" s="885"/>
      <c r="L130" s="891">
        <f t="shared" si="26"/>
        <v>0</v>
      </c>
      <c r="M130" s="891"/>
      <c r="N130" s="891"/>
      <c r="O130" s="891"/>
      <c r="P130" s="890">
        <f t="shared" si="27"/>
        <v>0</v>
      </c>
      <c r="Q130" s="878"/>
    </row>
    <row r="131" spans="1:17">
      <c r="A131" s="1323">
        <f t="shared" si="13"/>
        <v>127</v>
      </c>
      <c r="B131" s="888" t="s">
        <v>131</v>
      </c>
      <c r="C131" s="887"/>
      <c r="D131" s="957">
        <f t="shared" si="31"/>
        <v>2</v>
      </c>
      <c r="E131" s="887"/>
      <c r="F131" s="891">
        <f t="shared" si="28"/>
        <v>0</v>
      </c>
      <c r="G131" s="891"/>
      <c r="H131" s="892">
        <f t="shared" si="29"/>
        <v>0</v>
      </c>
      <c r="I131" s="892"/>
      <c r="J131" s="901">
        <f t="shared" si="30"/>
        <v>8</v>
      </c>
      <c r="K131" s="885"/>
      <c r="L131" s="891">
        <f t="shared" si="26"/>
        <v>0</v>
      </c>
      <c r="M131" s="891"/>
      <c r="N131" s="891"/>
      <c r="O131" s="891"/>
      <c r="P131" s="890">
        <f t="shared" si="27"/>
        <v>0</v>
      </c>
      <c r="Q131" s="878"/>
    </row>
    <row r="132" spans="1:17">
      <c r="A132" s="1323">
        <f t="shared" si="13"/>
        <v>128</v>
      </c>
      <c r="B132" s="888" t="s">
        <v>262</v>
      </c>
      <c r="C132" s="887"/>
      <c r="D132" s="957">
        <f t="shared" si="31"/>
        <v>2</v>
      </c>
      <c r="E132" s="887"/>
      <c r="F132" s="891">
        <f t="shared" si="28"/>
        <v>0</v>
      </c>
      <c r="G132" s="891"/>
      <c r="H132" s="892">
        <f t="shared" si="29"/>
        <v>0</v>
      </c>
      <c r="I132" s="892"/>
      <c r="J132" s="901">
        <f t="shared" si="30"/>
        <v>7</v>
      </c>
      <c r="K132" s="885"/>
      <c r="L132" s="891">
        <f t="shared" si="26"/>
        <v>0</v>
      </c>
      <c r="M132" s="891"/>
      <c r="N132" s="891"/>
      <c r="O132" s="891"/>
      <c r="P132" s="890">
        <f t="shared" si="27"/>
        <v>0</v>
      </c>
      <c r="Q132" s="878"/>
    </row>
    <row r="133" spans="1:17">
      <c r="A133" s="1323">
        <f t="shared" si="13"/>
        <v>129</v>
      </c>
      <c r="B133" s="888" t="s">
        <v>152</v>
      </c>
      <c r="C133" s="887"/>
      <c r="D133" s="957">
        <f t="shared" si="31"/>
        <v>2</v>
      </c>
      <c r="E133" s="887"/>
      <c r="F133" s="891">
        <f t="shared" si="28"/>
        <v>0</v>
      </c>
      <c r="G133" s="891"/>
      <c r="H133" s="892">
        <f t="shared" si="29"/>
        <v>0</v>
      </c>
      <c r="I133" s="892"/>
      <c r="J133" s="901">
        <f t="shared" si="30"/>
        <v>6</v>
      </c>
      <c r="K133" s="885"/>
      <c r="L133" s="891">
        <f t="shared" si="26"/>
        <v>0</v>
      </c>
      <c r="M133" s="891"/>
      <c r="N133" s="891"/>
      <c r="O133" s="891"/>
      <c r="P133" s="890">
        <f t="shared" si="27"/>
        <v>0</v>
      </c>
      <c r="Q133" s="878"/>
    </row>
    <row r="134" spans="1:17">
      <c r="A134" s="1323">
        <f t="shared" si="13"/>
        <v>130</v>
      </c>
      <c r="B134" s="888" t="s">
        <v>151</v>
      </c>
      <c r="C134" s="887"/>
      <c r="D134" s="957">
        <f t="shared" si="31"/>
        <v>2</v>
      </c>
      <c r="E134" s="887"/>
      <c r="F134" s="891">
        <f t="shared" si="28"/>
        <v>0</v>
      </c>
      <c r="G134" s="891"/>
      <c r="H134" s="892">
        <f t="shared" si="29"/>
        <v>0</v>
      </c>
      <c r="I134" s="892"/>
      <c r="J134" s="901">
        <f t="shared" si="30"/>
        <v>5</v>
      </c>
      <c r="K134" s="885"/>
      <c r="L134" s="891">
        <f t="shared" si="26"/>
        <v>0</v>
      </c>
      <c r="M134" s="891"/>
      <c r="N134" s="891"/>
      <c r="O134" s="891"/>
      <c r="P134" s="890">
        <f t="shared" si="27"/>
        <v>0</v>
      </c>
      <c r="Q134" s="878"/>
    </row>
    <row r="135" spans="1:17">
      <c r="A135" s="1323">
        <f t="shared" ref="A135:A165" si="32">+A134+1</f>
        <v>131</v>
      </c>
      <c r="B135" s="888" t="s">
        <v>150</v>
      </c>
      <c r="C135" s="887"/>
      <c r="D135" s="957">
        <f t="shared" si="31"/>
        <v>2</v>
      </c>
      <c r="E135" s="887"/>
      <c r="F135" s="891">
        <f t="shared" si="28"/>
        <v>0</v>
      </c>
      <c r="G135" s="891"/>
      <c r="H135" s="892">
        <f t="shared" si="29"/>
        <v>0</v>
      </c>
      <c r="I135" s="892"/>
      <c r="J135" s="901">
        <f t="shared" si="30"/>
        <v>4</v>
      </c>
      <c r="K135" s="885"/>
      <c r="L135" s="891">
        <f t="shared" si="26"/>
        <v>0</v>
      </c>
      <c r="M135" s="891"/>
      <c r="N135" s="891"/>
      <c r="O135" s="891"/>
      <c r="P135" s="890">
        <f t="shared" si="27"/>
        <v>0</v>
      </c>
      <c r="Q135" s="878"/>
    </row>
    <row r="136" spans="1:17">
      <c r="A136" s="1323">
        <f t="shared" si="32"/>
        <v>132</v>
      </c>
      <c r="B136" s="888" t="s">
        <v>161</v>
      </c>
      <c r="C136" s="887"/>
      <c r="D136" s="957">
        <f t="shared" si="31"/>
        <v>2</v>
      </c>
      <c r="E136" s="887"/>
      <c r="F136" s="891">
        <f t="shared" si="28"/>
        <v>0</v>
      </c>
      <c r="G136" s="891"/>
      <c r="H136" s="892">
        <f t="shared" si="29"/>
        <v>0</v>
      </c>
      <c r="I136" s="892"/>
      <c r="J136" s="901">
        <f t="shared" si="30"/>
        <v>3</v>
      </c>
      <c r="K136" s="885"/>
      <c r="L136" s="891">
        <f t="shared" si="26"/>
        <v>0</v>
      </c>
      <c r="M136" s="891"/>
      <c r="N136" s="891"/>
      <c r="O136" s="891"/>
      <c r="P136" s="890">
        <f t="shared" si="27"/>
        <v>0</v>
      </c>
      <c r="Q136" s="878"/>
    </row>
    <row r="137" spans="1:17">
      <c r="A137" s="1323">
        <f t="shared" si="32"/>
        <v>133</v>
      </c>
      <c r="B137" s="888" t="s">
        <v>148</v>
      </c>
      <c r="C137" s="887"/>
      <c r="D137" s="957">
        <f t="shared" si="31"/>
        <v>2</v>
      </c>
      <c r="E137" s="887"/>
      <c r="F137" s="891">
        <f t="shared" si="28"/>
        <v>0</v>
      </c>
      <c r="G137" s="891"/>
      <c r="H137" s="892">
        <f t="shared" si="29"/>
        <v>0</v>
      </c>
      <c r="I137" s="892"/>
      <c r="J137" s="901">
        <f t="shared" si="30"/>
        <v>2</v>
      </c>
      <c r="K137" s="885"/>
      <c r="L137" s="891">
        <f t="shared" si="26"/>
        <v>0</v>
      </c>
      <c r="M137" s="891"/>
      <c r="N137" s="891"/>
      <c r="O137" s="891"/>
      <c r="P137" s="890">
        <f t="shared" si="27"/>
        <v>0</v>
      </c>
      <c r="Q137" s="878"/>
    </row>
    <row r="138" spans="1:17">
      <c r="A138" s="1323">
        <f t="shared" si="32"/>
        <v>134</v>
      </c>
      <c r="B138" s="888" t="s">
        <v>146</v>
      </c>
      <c r="C138" s="887"/>
      <c r="D138" s="957">
        <f t="shared" si="31"/>
        <v>2</v>
      </c>
      <c r="E138" s="887"/>
      <c r="F138" s="891">
        <f t="shared" si="28"/>
        <v>0</v>
      </c>
      <c r="G138" s="891"/>
      <c r="H138" s="892">
        <f t="shared" si="29"/>
        <v>0</v>
      </c>
      <c r="I138" s="892"/>
      <c r="J138" s="901">
        <f t="shared" si="30"/>
        <v>1</v>
      </c>
      <c r="K138" s="885"/>
      <c r="L138" s="894">
        <f t="shared" si="26"/>
        <v>0</v>
      </c>
      <c r="M138" s="891"/>
      <c r="N138" s="891"/>
      <c r="O138" s="891"/>
      <c r="P138" s="890">
        <f t="shared" si="27"/>
        <v>0</v>
      </c>
      <c r="Q138" s="878"/>
    </row>
    <row r="139" spans="1:17">
      <c r="A139" s="1323">
        <f t="shared" si="32"/>
        <v>135</v>
      </c>
      <c r="B139" s="888"/>
      <c r="C139" s="887"/>
      <c r="D139" s="887"/>
      <c r="E139" s="887"/>
      <c r="F139" s="891"/>
      <c r="G139" s="891"/>
      <c r="H139" s="892"/>
      <c r="I139" s="892"/>
      <c r="J139" s="885"/>
      <c r="K139" s="885"/>
      <c r="L139" s="891">
        <f>SUM(L127:L138)</f>
        <v>0</v>
      </c>
      <c r="M139" s="891"/>
      <c r="N139" s="891"/>
      <c r="O139" s="891"/>
      <c r="P139" s="899">
        <f>SUM(P127:P138)</f>
        <v>0</v>
      </c>
      <c r="Q139" s="878"/>
    </row>
    <row r="140" spans="1:17">
      <c r="A140" s="1323">
        <f t="shared" si="32"/>
        <v>136</v>
      </c>
      <c r="B140" s="888"/>
      <c r="C140" s="887"/>
      <c r="D140" s="887"/>
      <c r="E140" s="887"/>
      <c r="F140" s="891"/>
      <c r="G140" s="891"/>
      <c r="H140" s="892"/>
      <c r="I140" s="892"/>
      <c r="J140" s="885"/>
      <c r="K140" s="885"/>
      <c r="L140" s="891"/>
      <c r="M140" s="891"/>
      <c r="N140" s="891"/>
      <c r="O140" s="891"/>
      <c r="P140" s="899"/>
      <c r="Q140" s="878"/>
    </row>
    <row r="141" spans="1:17">
      <c r="A141" s="1323">
        <f t="shared" si="32"/>
        <v>137</v>
      </c>
      <c r="B141" s="888"/>
      <c r="C141" s="887"/>
      <c r="D141" s="887"/>
      <c r="E141" s="887"/>
      <c r="F141" s="891"/>
      <c r="G141" s="891"/>
      <c r="H141" s="892"/>
      <c r="I141" s="892"/>
      <c r="J141" s="885"/>
      <c r="K141" s="885"/>
      <c r="L141" s="896" t="s">
        <v>263</v>
      </c>
      <c r="M141" s="891"/>
      <c r="N141" s="891"/>
      <c r="O141" s="891"/>
      <c r="P141" s="899"/>
      <c r="Q141" s="878"/>
    </row>
    <row r="142" spans="1:17">
      <c r="A142" s="1323">
        <f t="shared" si="32"/>
        <v>138</v>
      </c>
      <c r="B142" s="888"/>
      <c r="C142" s="887"/>
      <c r="D142" s="887"/>
      <c r="E142" s="887"/>
      <c r="F142" s="891"/>
      <c r="G142" s="891"/>
      <c r="H142" s="892"/>
      <c r="I142" s="892"/>
      <c r="J142" s="885"/>
      <c r="K142" s="885"/>
      <c r="L142" s="896"/>
      <c r="M142" s="891"/>
      <c r="N142" s="891"/>
      <c r="O142" s="891"/>
      <c r="P142" s="899"/>
      <c r="Q142" s="878"/>
    </row>
    <row r="143" spans="1:17">
      <c r="A143" s="1323">
        <f t="shared" si="32"/>
        <v>139</v>
      </c>
      <c r="B143" s="888" t="s">
        <v>264</v>
      </c>
      <c r="C143" s="887"/>
      <c r="D143" s="958">
        <f>+D138+1</f>
        <v>3</v>
      </c>
      <c r="E143" s="887"/>
      <c r="F143" s="893">
        <f>P139</f>
        <v>0</v>
      </c>
      <c r="G143" s="893"/>
      <c r="H143" s="892">
        <f>+H138</f>
        <v>0</v>
      </c>
      <c r="I143" s="892"/>
      <c r="J143" s="900">
        <v>12</v>
      </c>
      <c r="K143" s="887"/>
      <c r="L143" s="891">
        <f>+J143*H143*F143</f>
        <v>0</v>
      </c>
      <c r="M143" s="891"/>
      <c r="N143" s="891"/>
      <c r="O143" s="891"/>
      <c r="P143" s="899">
        <f>+F143+L143</f>
        <v>0</v>
      </c>
      <c r="Q143" s="878"/>
    </row>
    <row r="144" spans="1:17">
      <c r="A144" s="1323">
        <f t="shared" si="32"/>
        <v>140</v>
      </c>
      <c r="B144" s="888"/>
      <c r="C144" s="887"/>
      <c r="D144" s="958"/>
      <c r="E144" s="887"/>
      <c r="F144" s="893"/>
      <c r="G144" s="893"/>
      <c r="H144" s="892"/>
      <c r="I144" s="892"/>
      <c r="J144" s="900"/>
      <c r="K144" s="887"/>
      <c r="L144" s="891"/>
      <c r="M144" s="891"/>
      <c r="N144" s="891"/>
      <c r="O144" s="891"/>
      <c r="P144" s="899"/>
      <c r="Q144" s="878"/>
    </row>
    <row r="145" spans="1:17">
      <c r="A145" s="1323">
        <f t="shared" si="32"/>
        <v>141</v>
      </c>
      <c r="B145" s="888"/>
      <c r="C145" s="887"/>
      <c r="D145" s="958"/>
      <c r="E145" s="887"/>
      <c r="F145" s="893"/>
      <c r="G145" s="893"/>
      <c r="H145" s="892"/>
      <c r="I145" s="892"/>
      <c r="J145" s="900"/>
      <c r="K145" s="887"/>
      <c r="L145" s="891"/>
      <c r="M145" s="891"/>
      <c r="N145" s="891"/>
      <c r="O145" s="891"/>
      <c r="P145" s="899"/>
      <c r="Q145" s="878"/>
    </row>
    <row r="146" spans="1:17">
      <c r="A146" s="1323">
        <f t="shared" si="32"/>
        <v>142</v>
      </c>
      <c r="B146" s="888"/>
      <c r="C146" s="887"/>
      <c r="D146" s="958"/>
      <c r="E146" s="887"/>
      <c r="F146" s="893"/>
      <c r="G146" s="893"/>
      <c r="H146" s="892"/>
      <c r="I146" s="892"/>
      <c r="J146" s="887"/>
      <c r="K146" s="887"/>
      <c r="L146" s="891"/>
      <c r="M146" s="891"/>
      <c r="N146" s="891"/>
      <c r="O146" s="891"/>
      <c r="P146" s="899"/>
      <c r="Q146" s="878"/>
    </row>
    <row r="147" spans="1:17">
      <c r="A147" s="1323">
        <f t="shared" si="32"/>
        <v>143</v>
      </c>
      <c r="B147" s="888"/>
      <c r="C147" s="887"/>
      <c r="D147" s="958"/>
      <c r="E147" s="887"/>
      <c r="F147" s="893"/>
      <c r="G147" s="893"/>
      <c r="H147" s="892"/>
      <c r="I147" s="892"/>
      <c r="J147" s="887"/>
      <c r="K147" s="887"/>
      <c r="L147" s="891"/>
      <c r="M147" s="891"/>
      <c r="N147" s="891"/>
      <c r="O147" s="891"/>
      <c r="P147" s="890"/>
      <c r="Q147" s="878"/>
    </row>
    <row r="148" spans="1:17">
      <c r="A148" s="1323">
        <f t="shared" si="32"/>
        <v>144</v>
      </c>
      <c r="B148" s="898" t="s">
        <v>265</v>
      </c>
      <c r="C148" s="897"/>
      <c r="D148" s="887"/>
      <c r="E148" s="887"/>
      <c r="F148" s="891"/>
      <c r="G148" s="891"/>
      <c r="H148" s="892"/>
      <c r="I148" s="892"/>
      <c r="J148" s="887"/>
      <c r="K148" s="887"/>
      <c r="L148" s="896" t="s">
        <v>261</v>
      </c>
      <c r="M148" s="896"/>
      <c r="N148" s="891"/>
      <c r="O148" s="891"/>
      <c r="P148" s="890"/>
      <c r="Q148" s="878"/>
    </row>
    <row r="149" spans="1:17">
      <c r="A149" s="1323">
        <f t="shared" si="32"/>
        <v>145</v>
      </c>
      <c r="B149" s="888" t="s">
        <v>156</v>
      </c>
      <c r="C149" s="887"/>
      <c r="D149" s="957">
        <f>+D143+1</f>
        <v>4</v>
      </c>
      <c r="E149" s="887"/>
      <c r="F149" s="895">
        <f>+P143</f>
        <v>0</v>
      </c>
      <c r="G149" s="893"/>
      <c r="H149" s="892">
        <f>+H143</f>
        <v>0</v>
      </c>
      <c r="I149" s="892"/>
      <c r="J149" s="887"/>
      <c r="K149" s="887"/>
      <c r="L149" s="891">
        <f t="shared" ref="L149:L160" si="33" xml:space="preserve"> -H149*F149</f>
        <v>0</v>
      </c>
      <c r="M149" s="891"/>
      <c r="N149" s="891">
        <f>-PMT(H149,12,P143)</f>
        <v>0</v>
      </c>
      <c r="O149" s="891"/>
      <c r="P149" s="890">
        <f t="shared" ref="P149:P160" si="34">(+F149+F149*H149+N149)*-1</f>
        <v>0</v>
      </c>
      <c r="Q149" s="878"/>
    </row>
    <row r="150" spans="1:17">
      <c r="A150" s="1323">
        <f t="shared" si="32"/>
        <v>146</v>
      </c>
      <c r="B150" s="888" t="s">
        <v>155</v>
      </c>
      <c r="C150" s="887"/>
      <c r="D150" s="957">
        <f t="shared" ref="D150:D158" si="35">+D149</f>
        <v>4</v>
      </c>
      <c r="E150" s="887"/>
      <c r="F150" s="893">
        <f t="shared" ref="F150:F160" si="36">-P149</f>
        <v>0</v>
      </c>
      <c r="G150" s="893"/>
      <c r="H150" s="892">
        <f t="shared" ref="H150:H160" si="37">+H149</f>
        <v>0</v>
      </c>
      <c r="I150" s="892"/>
      <c r="J150" s="887"/>
      <c r="K150" s="887"/>
      <c r="L150" s="891">
        <f t="shared" si="33"/>
        <v>0</v>
      </c>
      <c r="M150" s="891"/>
      <c r="N150" s="891">
        <f t="shared" ref="N150:N160" si="38">N149</f>
        <v>0</v>
      </c>
      <c r="O150" s="891"/>
      <c r="P150" s="890">
        <f t="shared" si="34"/>
        <v>0</v>
      </c>
      <c r="Q150" s="878"/>
    </row>
    <row r="151" spans="1:17">
      <c r="A151" s="1323">
        <f t="shared" si="32"/>
        <v>147</v>
      </c>
      <c r="B151" s="888" t="s">
        <v>154</v>
      </c>
      <c r="C151" s="887"/>
      <c r="D151" s="957">
        <f t="shared" si="35"/>
        <v>4</v>
      </c>
      <c r="E151" s="887"/>
      <c r="F151" s="893">
        <f t="shared" si="36"/>
        <v>0</v>
      </c>
      <c r="G151" s="893"/>
      <c r="H151" s="892">
        <f t="shared" si="37"/>
        <v>0</v>
      </c>
      <c r="I151" s="892"/>
      <c r="J151" s="887"/>
      <c r="K151" s="887"/>
      <c r="L151" s="891">
        <f t="shared" si="33"/>
        <v>0</v>
      </c>
      <c r="M151" s="891"/>
      <c r="N151" s="891">
        <f t="shared" si="38"/>
        <v>0</v>
      </c>
      <c r="O151" s="891"/>
      <c r="P151" s="890">
        <f t="shared" si="34"/>
        <v>0</v>
      </c>
      <c r="Q151" s="878"/>
    </row>
    <row r="152" spans="1:17">
      <c r="A152" s="1323">
        <f t="shared" si="32"/>
        <v>148</v>
      </c>
      <c r="B152" s="888" t="s">
        <v>134</v>
      </c>
      <c r="C152" s="887"/>
      <c r="D152" s="957">
        <f t="shared" si="35"/>
        <v>4</v>
      </c>
      <c r="E152" s="887"/>
      <c r="F152" s="893">
        <f t="shared" si="36"/>
        <v>0</v>
      </c>
      <c r="G152" s="893"/>
      <c r="H152" s="892">
        <f t="shared" si="37"/>
        <v>0</v>
      </c>
      <c r="I152" s="892"/>
      <c r="J152" s="887"/>
      <c r="K152" s="887"/>
      <c r="L152" s="891">
        <f t="shared" si="33"/>
        <v>0</v>
      </c>
      <c r="M152" s="891"/>
      <c r="N152" s="891">
        <f t="shared" si="38"/>
        <v>0</v>
      </c>
      <c r="O152" s="891"/>
      <c r="P152" s="890">
        <f t="shared" si="34"/>
        <v>0</v>
      </c>
      <c r="Q152" s="878"/>
    </row>
    <row r="153" spans="1:17">
      <c r="A153" s="1323">
        <f t="shared" si="32"/>
        <v>149</v>
      </c>
      <c r="B153" s="888" t="s">
        <v>131</v>
      </c>
      <c r="C153" s="887"/>
      <c r="D153" s="957">
        <f t="shared" si="35"/>
        <v>4</v>
      </c>
      <c r="E153" s="887"/>
      <c r="F153" s="893">
        <f t="shared" si="36"/>
        <v>0</v>
      </c>
      <c r="G153" s="893"/>
      <c r="H153" s="892">
        <f t="shared" si="37"/>
        <v>0</v>
      </c>
      <c r="I153" s="892"/>
      <c r="J153" s="887"/>
      <c r="K153" s="887"/>
      <c r="L153" s="891">
        <f t="shared" si="33"/>
        <v>0</v>
      </c>
      <c r="M153" s="891"/>
      <c r="N153" s="891">
        <f t="shared" si="38"/>
        <v>0</v>
      </c>
      <c r="O153" s="891"/>
      <c r="P153" s="890">
        <f t="shared" si="34"/>
        <v>0</v>
      </c>
      <c r="Q153" s="878"/>
    </row>
    <row r="154" spans="1:17">
      <c r="A154" s="1323">
        <f t="shared" si="32"/>
        <v>150</v>
      </c>
      <c r="B154" s="888" t="s">
        <v>262</v>
      </c>
      <c r="C154" s="887"/>
      <c r="D154" s="957">
        <f t="shared" si="35"/>
        <v>4</v>
      </c>
      <c r="E154" s="887"/>
      <c r="F154" s="893">
        <f t="shared" si="36"/>
        <v>0</v>
      </c>
      <c r="G154" s="893"/>
      <c r="H154" s="892">
        <f t="shared" si="37"/>
        <v>0</v>
      </c>
      <c r="I154" s="892"/>
      <c r="J154" s="887"/>
      <c r="K154" s="887"/>
      <c r="L154" s="891">
        <f t="shared" si="33"/>
        <v>0</v>
      </c>
      <c r="M154" s="891"/>
      <c r="N154" s="891">
        <f t="shared" si="38"/>
        <v>0</v>
      </c>
      <c r="O154" s="891"/>
      <c r="P154" s="890">
        <f t="shared" si="34"/>
        <v>0</v>
      </c>
      <c r="Q154" s="878"/>
    </row>
    <row r="155" spans="1:17">
      <c r="A155" s="1323">
        <f t="shared" si="32"/>
        <v>151</v>
      </c>
      <c r="B155" s="888" t="s">
        <v>152</v>
      </c>
      <c r="C155" s="887"/>
      <c r="D155" s="957">
        <f t="shared" si="35"/>
        <v>4</v>
      </c>
      <c r="E155" s="887"/>
      <c r="F155" s="893">
        <f t="shared" si="36"/>
        <v>0</v>
      </c>
      <c r="G155" s="893"/>
      <c r="H155" s="892">
        <f t="shared" si="37"/>
        <v>0</v>
      </c>
      <c r="I155" s="892"/>
      <c r="J155" s="887"/>
      <c r="K155" s="887"/>
      <c r="L155" s="891">
        <f t="shared" si="33"/>
        <v>0</v>
      </c>
      <c r="M155" s="891"/>
      <c r="N155" s="891">
        <f t="shared" si="38"/>
        <v>0</v>
      </c>
      <c r="O155" s="891"/>
      <c r="P155" s="890">
        <f t="shared" si="34"/>
        <v>0</v>
      </c>
      <c r="Q155" s="878"/>
    </row>
    <row r="156" spans="1:17">
      <c r="A156" s="1323">
        <f t="shared" si="32"/>
        <v>152</v>
      </c>
      <c r="B156" s="888" t="s">
        <v>151</v>
      </c>
      <c r="C156" s="887"/>
      <c r="D156" s="957">
        <f t="shared" si="35"/>
        <v>4</v>
      </c>
      <c r="E156" s="887"/>
      <c r="F156" s="893">
        <f t="shared" si="36"/>
        <v>0</v>
      </c>
      <c r="G156" s="893"/>
      <c r="H156" s="892">
        <f t="shared" si="37"/>
        <v>0</v>
      </c>
      <c r="I156" s="892"/>
      <c r="J156" s="887"/>
      <c r="K156" s="887"/>
      <c r="L156" s="891">
        <f t="shared" si="33"/>
        <v>0</v>
      </c>
      <c r="M156" s="891"/>
      <c r="N156" s="891">
        <f t="shared" si="38"/>
        <v>0</v>
      </c>
      <c r="O156" s="891"/>
      <c r="P156" s="890">
        <f t="shared" si="34"/>
        <v>0</v>
      </c>
      <c r="Q156" s="878"/>
    </row>
    <row r="157" spans="1:17">
      <c r="A157" s="1323">
        <f t="shared" si="32"/>
        <v>153</v>
      </c>
      <c r="B157" s="888" t="s">
        <v>150</v>
      </c>
      <c r="C157" s="887"/>
      <c r="D157" s="957">
        <f t="shared" si="35"/>
        <v>4</v>
      </c>
      <c r="E157" s="887"/>
      <c r="F157" s="893">
        <f t="shared" si="36"/>
        <v>0</v>
      </c>
      <c r="G157" s="893"/>
      <c r="H157" s="892">
        <f t="shared" si="37"/>
        <v>0</v>
      </c>
      <c r="I157" s="892"/>
      <c r="J157" s="887"/>
      <c r="K157" s="887"/>
      <c r="L157" s="891">
        <f t="shared" si="33"/>
        <v>0</v>
      </c>
      <c r="M157" s="891"/>
      <c r="N157" s="891">
        <f t="shared" si="38"/>
        <v>0</v>
      </c>
      <c r="O157" s="891"/>
      <c r="P157" s="890">
        <f t="shared" si="34"/>
        <v>0</v>
      </c>
      <c r="Q157" s="878"/>
    </row>
    <row r="158" spans="1:17">
      <c r="A158" s="1323">
        <f t="shared" si="32"/>
        <v>154</v>
      </c>
      <c r="B158" s="888" t="s">
        <v>161</v>
      </c>
      <c r="C158" s="887"/>
      <c r="D158" s="957">
        <f t="shared" si="35"/>
        <v>4</v>
      </c>
      <c r="E158" s="887"/>
      <c r="F158" s="893">
        <f t="shared" si="36"/>
        <v>0</v>
      </c>
      <c r="G158" s="893"/>
      <c r="H158" s="892">
        <f t="shared" si="37"/>
        <v>0</v>
      </c>
      <c r="I158" s="892"/>
      <c r="J158" s="887"/>
      <c r="K158" s="887"/>
      <c r="L158" s="891">
        <f t="shared" si="33"/>
        <v>0</v>
      </c>
      <c r="M158" s="891"/>
      <c r="N158" s="891">
        <f t="shared" si="38"/>
        <v>0</v>
      </c>
      <c r="O158" s="891"/>
      <c r="P158" s="890">
        <f t="shared" si="34"/>
        <v>0</v>
      </c>
      <c r="Q158" s="878"/>
    </row>
    <row r="159" spans="1:17">
      <c r="A159" s="1323">
        <f t="shared" si="32"/>
        <v>155</v>
      </c>
      <c r="B159" s="888" t="s">
        <v>148</v>
      </c>
      <c r="C159" s="887"/>
      <c r="D159" s="957">
        <f>+D158</f>
        <v>4</v>
      </c>
      <c r="E159" s="887"/>
      <c r="F159" s="893">
        <f t="shared" si="36"/>
        <v>0</v>
      </c>
      <c r="G159" s="893"/>
      <c r="H159" s="892">
        <f t="shared" si="37"/>
        <v>0</v>
      </c>
      <c r="I159" s="892"/>
      <c r="J159" s="887"/>
      <c r="K159" s="887"/>
      <c r="L159" s="891">
        <f t="shared" si="33"/>
        <v>0</v>
      </c>
      <c r="M159" s="891"/>
      <c r="N159" s="891">
        <f t="shared" si="38"/>
        <v>0</v>
      </c>
      <c r="O159" s="891"/>
      <c r="P159" s="890">
        <f t="shared" si="34"/>
        <v>0</v>
      </c>
      <c r="Q159" s="878"/>
    </row>
    <row r="160" spans="1:17">
      <c r="A160" s="1323">
        <f t="shared" si="32"/>
        <v>156</v>
      </c>
      <c r="B160" s="888" t="s">
        <v>146</v>
      </c>
      <c r="C160" s="887"/>
      <c r="D160" s="957">
        <f>+D159</f>
        <v>4</v>
      </c>
      <c r="E160" s="887"/>
      <c r="F160" s="893">
        <f t="shared" si="36"/>
        <v>0</v>
      </c>
      <c r="G160" s="893"/>
      <c r="H160" s="892">
        <f t="shared" si="37"/>
        <v>0</v>
      </c>
      <c r="I160" s="892"/>
      <c r="J160" s="887"/>
      <c r="K160" s="887"/>
      <c r="L160" s="894">
        <f t="shared" si="33"/>
        <v>0</v>
      </c>
      <c r="M160" s="891"/>
      <c r="N160" s="891">
        <f t="shared" si="38"/>
        <v>0</v>
      </c>
      <c r="O160" s="891"/>
      <c r="P160" s="890">
        <f t="shared" si="34"/>
        <v>0</v>
      </c>
      <c r="Q160" s="878"/>
    </row>
    <row r="161" spans="1:17">
      <c r="A161" s="1323">
        <f t="shared" si="32"/>
        <v>157</v>
      </c>
      <c r="B161" s="888"/>
      <c r="C161" s="887"/>
      <c r="D161" s="957"/>
      <c r="E161" s="887"/>
      <c r="F161" s="893"/>
      <c r="G161" s="893"/>
      <c r="H161" s="892"/>
      <c r="I161" s="892"/>
      <c r="J161" s="887"/>
      <c r="K161" s="887"/>
      <c r="L161" s="891">
        <f>SUM(L149:L160)</f>
        <v>0</v>
      </c>
      <c r="M161" s="891"/>
      <c r="N161" s="891"/>
      <c r="O161" s="891"/>
      <c r="P161" s="890"/>
      <c r="Q161" s="878"/>
    </row>
    <row r="162" spans="1:17">
      <c r="A162" s="1323">
        <f t="shared" si="32"/>
        <v>158</v>
      </c>
      <c r="B162" s="889"/>
      <c r="C162" s="885"/>
      <c r="D162" s="885"/>
      <c r="E162" s="885"/>
      <c r="F162" s="885"/>
      <c r="G162" s="885"/>
      <c r="H162" s="885"/>
      <c r="I162" s="885"/>
      <c r="J162" s="885"/>
      <c r="K162" s="885"/>
      <c r="L162" s="885"/>
      <c r="M162" s="885"/>
      <c r="N162" s="885"/>
      <c r="O162" s="885"/>
      <c r="P162" s="884"/>
      <c r="Q162" s="878"/>
    </row>
    <row r="163" spans="1:17">
      <c r="A163" s="1323">
        <f t="shared" si="32"/>
        <v>159</v>
      </c>
      <c r="B163" s="888" t="s">
        <v>584</v>
      </c>
      <c r="C163" s="887"/>
      <c r="D163" s="885"/>
      <c r="E163" s="885"/>
      <c r="F163" s="885"/>
      <c r="G163" s="885"/>
      <c r="H163" s="885"/>
      <c r="I163" s="885"/>
      <c r="J163" s="885"/>
      <c r="K163" s="885"/>
      <c r="L163" s="885"/>
      <c r="M163" s="885"/>
      <c r="N163" s="886">
        <f>SUM(N149:N160)</f>
        <v>0</v>
      </c>
      <c r="O163" s="885"/>
      <c r="P163" s="884"/>
      <c r="Q163" s="878"/>
    </row>
    <row r="164" spans="1:17">
      <c r="A164" s="1323">
        <f t="shared" si="32"/>
        <v>160</v>
      </c>
      <c r="B164" s="888" t="s">
        <v>266</v>
      </c>
      <c r="C164" s="887"/>
      <c r="D164" s="885"/>
      <c r="E164" s="885"/>
      <c r="F164" s="885"/>
      <c r="G164" s="885"/>
      <c r="H164" s="885"/>
      <c r="I164" s="885"/>
      <c r="J164" s="885"/>
      <c r="K164" s="885"/>
      <c r="L164" s="885"/>
      <c r="M164" s="885"/>
      <c r="N164" s="886">
        <f>L12</f>
        <v>0</v>
      </c>
      <c r="O164" s="885"/>
      <c r="P164" s="884"/>
      <c r="Q164" s="878"/>
    </row>
    <row r="165" spans="1:17">
      <c r="A165" s="1323">
        <f t="shared" si="32"/>
        <v>161</v>
      </c>
      <c r="B165" s="888" t="s">
        <v>267</v>
      </c>
      <c r="C165" s="887"/>
      <c r="D165" s="885"/>
      <c r="E165" s="885"/>
      <c r="F165" s="885"/>
      <c r="G165" s="885"/>
      <c r="H165" s="885"/>
      <c r="I165" s="885"/>
      <c r="J165" s="885"/>
      <c r="K165" s="885"/>
      <c r="L165" s="885"/>
      <c r="M165" s="885"/>
      <c r="N165" s="886">
        <f>(N163+N164)</f>
        <v>0</v>
      </c>
      <c r="O165" s="885"/>
      <c r="P165" s="884"/>
      <c r="Q165" s="878"/>
    </row>
    <row r="166" spans="1:17">
      <c r="B166" s="914"/>
      <c r="C166" s="914"/>
      <c r="D166" s="914"/>
      <c r="E166" s="914"/>
      <c r="F166" s="914"/>
      <c r="G166" s="914"/>
      <c r="H166" s="914"/>
      <c r="I166" s="914"/>
      <c r="J166" s="914"/>
      <c r="K166" s="914"/>
      <c r="L166" s="914"/>
      <c r="M166" s="914"/>
      <c r="N166" s="914"/>
      <c r="O166" s="914"/>
      <c r="P166" s="914"/>
      <c r="Q166" s="885"/>
    </row>
    <row r="167" spans="1:17">
      <c r="B167" s="914"/>
      <c r="C167" s="914"/>
      <c r="D167" s="914"/>
      <c r="E167" s="914"/>
      <c r="F167" s="914"/>
      <c r="G167" s="914"/>
      <c r="H167" s="914"/>
      <c r="I167" s="914"/>
      <c r="J167" s="914"/>
      <c r="K167" s="914"/>
      <c r="L167" s="914"/>
      <c r="M167" s="914"/>
      <c r="N167" s="914"/>
      <c r="O167" s="914"/>
      <c r="P167" s="914"/>
      <c r="Q167" s="885"/>
    </row>
    <row r="168" spans="1:17">
      <c r="B168" s="1622"/>
      <c r="C168" s="1622"/>
      <c r="D168" s="1622"/>
      <c r="E168" s="1622"/>
      <c r="F168" s="1622"/>
      <c r="G168" s="1622"/>
      <c r="H168" s="1622"/>
      <c r="I168" s="1622"/>
      <c r="J168" s="1622"/>
      <c r="K168" s="1622"/>
      <c r="L168" s="1622"/>
      <c r="M168" s="1622"/>
      <c r="N168" s="1622"/>
      <c r="O168" s="914"/>
      <c r="P168" s="914"/>
      <c r="Q168" s="885"/>
    </row>
    <row r="169" spans="1:17">
      <c r="B169" s="1623"/>
      <c r="C169" s="1623"/>
      <c r="D169" s="1623"/>
      <c r="E169" s="1623"/>
      <c r="F169" s="1623"/>
      <c r="G169" s="1623"/>
      <c r="H169" s="1623"/>
      <c r="I169" s="1623"/>
      <c r="J169" s="1623"/>
      <c r="K169" s="1623"/>
      <c r="L169" s="1623"/>
      <c r="M169" s="1623"/>
      <c r="N169" s="1623"/>
      <c r="O169" s="914"/>
      <c r="P169" s="914"/>
      <c r="Q169" s="885"/>
    </row>
    <row r="170" spans="1:17">
      <c r="B170" s="1622"/>
      <c r="C170" s="1622"/>
      <c r="D170" s="1622"/>
      <c r="E170" s="1622"/>
      <c r="F170" s="1622"/>
      <c r="G170" s="1622"/>
      <c r="H170" s="1622"/>
      <c r="I170" s="1622"/>
      <c r="J170" s="1622"/>
      <c r="K170" s="1622"/>
      <c r="L170" s="1622"/>
      <c r="M170" s="1622"/>
      <c r="N170" s="1622"/>
      <c r="O170" s="914"/>
      <c r="P170" s="914"/>
      <c r="Q170" s="885"/>
    </row>
    <row r="171" spans="1:17">
      <c r="B171" s="914"/>
      <c r="C171" s="914"/>
      <c r="D171" s="914"/>
      <c r="E171" s="914"/>
      <c r="F171" s="914"/>
      <c r="G171" s="914"/>
      <c r="H171" s="914"/>
      <c r="I171" s="914"/>
      <c r="J171" s="914"/>
      <c r="K171" s="914"/>
      <c r="L171" s="914"/>
      <c r="M171" s="914"/>
      <c r="N171" s="914"/>
      <c r="O171" s="914"/>
      <c r="P171" s="914"/>
      <c r="Q171" s="885"/>
    </row>
    <row r="172" spans="1:17">
      <c r="B172" s="959"/>
      <c r="C172" s="905"/>
      <c r="D172" s="903"/>
      <c r="E172" s="903"/>
      <c r="F172" s="903"/>
      <c r="G172" s="903"/>
      <c r="H172" s="887"/>
      <c r="I172" s="887"/>
      <c r="J172" s="887"/>
      <c r="K172" s="887"/>
      <c r="L172" s="904"/>
      <c r="M172" s="904"/>
      <c r="N172" s="903"/>
      <c r="O172" s="903"/>
      <c r="P172" s="903"/>
      <c r="Q172" s="885"/>
    </row>
    <row r="173" spans="1:17">
      <c r="B173" s="960"/>
      <c r="C173" s="905"/>
      <c r="D173" s="903"/>
      <c r="E173" s="903"/>
      <c r="F173" s="903"/>
      <c r="G173" s="903"/>
      <c r="H173" s="887"/>
      <c r="I173" s="887"/>
      <c r="J173" s="887"/>
      <c r="K173" s="887"/>
      <c r="L173" s="904"/>
      <c r="M173" s="904"/>
      <c r="N173" s="903"/>
      <c r="O173" s="903"/>
      <c r="P173" s="903"/>
      <c r="Q173" s="885"/>
    </row>
    <row r="174" spans="1:17">
      <c r="B174" s="959"/>
      <c r="C174" s="905"/>
      <c r="D174" s="903"/>
      <c r="E174" s="903"/>
      <c r="F174" s="903"/>
      <c r="G174" s="903"/>
      <c r="H174" s="887"/>
      <c r="I174" s="887"/>
      <c r="J174" s="887"/>
      <c r="K174" s="887"/>
      <c r="L174" s="904"/>
      <c r="M174" s="904"/>
      <c r="N174" s="903"/>
      <c r="O174" s="903"/>
      <c r="P174" s="903"/>
      <c r="Q174" s="885"/>
    </row>
    <row r="175" spans="1:17">
      <c r="B175" s="887"/>
      <c r="C175" s="887"/>
      <c r="D175" s="957"/>
      <c r="E175" s="887"/>
      <c r="F175" s="891"/>
      <c r="G175" s="891"/>
      <c r="H175" s="892"/>
      <c r="I175" s="892"/>
      <c r="J175" s="900"/>
      <c r="K175" s="887"/>
      <c r="L175" s="891"/>
      <c r="M175" s="891"/>
      <c r="N175" s="891"/>
      <c r="O175" s="891"/>
      <c r="P175" s="891"/>
      <c r="Q175" s="885"/>
    </row>
    <row r="176" spans="1:17">
      <c r="B176" s="887"/>
      <c r="C176" s="887"/>
      <c r="D176" s="957"/>
      <c r="E176" s="887"/>
      <c r="F176" s="891"/>
      <c r="G176" s="891"/>
      <c r="H176" s="892"/>
      <c r="I176" s="892"/>
      <c r="J176" s="901"/>
      <c r="K176" s="885"/>
      <c r="L176" s="891"/>
      <c r="M176" s="891"/>
      <c r="N176" s="891"/>
      <c r="O176" s="891"/>
      <c r="P176" s="891"/>
      <c r="Q176" s="885"/>
    </row>
    <row r="177" spans="2:17">
      <c r="B177" s="887"/>
      <c r="C177" s="887"/>
      <c r="D177" s="957"/>
      <c r="E177" s="887"/>
      <c r="F177" s="891"/>
      <c r="G177" s="891"/>
      <c r="H177" s="892"/>
      <c r="I177" s="892"/>
      <c r="J177" s="901"/>
      <c r="K177" s="885"/>
      <c r="L177" s="891"/>
      <c r="M177" s="891"/>
      <c r="N177" s="891"/>
      <c r="O177" s="891"/>
      <c r="P177" s="891"/>
      <c r="Q177" s="885"/>
    </row>
    <row r="178" spans="2:17">
      <c r="B178" s="887"/>
      <c r="C178" s="887"/>
      <c r="D178" s="957"/>
      <c r="E178" s="887"/>
      <c r="F178" s="891"/>
      <c r="G178" s="891"/>
      <c r="H178" s="892"/>
      <c r="I178" s="892"/>
      <c r="J178" s="901"/>
      <c r="K178" s="885"/>
      <c r="L178" s="891"/>
      <c r="M178" s="891"/>
      <c r="N178" s="891"/>
      <c r="O178" s="891"/>
      <c r="P178" s="891"/>
      <c r="Q178" s="885"/>
    </row>
    <row r="179" spans="2:17">
      <c r="B179" s="887"/>
      <c r="C179" s="887"/>
      <c r="D179" s="957"/>
      <c r="E179" s="887"/>
      <c r="F179" s="891"/>
      <c r="G179" s="891"/>
      <c r="H179" s="892"/>
      <c r="I179" s="892"/>
      <c r="J179" s="901"/>
      <c r="K179" s="885"/>
      <c r="L179" s="891"/>
      <c r="M179" s="891"/>
      <c r="N179" s="891"/>
      <c r="O179" s="891"/>
      <c r="P179" s="891"/>
      <c r="Q179" s="885"/>
    </row>
    <row r="180" spans="2:17">
      <c r="B180" s="887"/>
      <c r="C180" s="887"/>
      <c r="D180" s="957"/>
      <c r="E180" s="887"/>
      <c r="F180" s="891"/>
      <c r="G180" s="891"/>
      <c r="H180" s="892"/>
      <c r="I180" s="892"/>
      <c r="J180" s="901"/>
      <c r="K180" s="885"/>
      <c r="L180" s="891"/>
      <c r="M180" s="891"/>
      <c r="N180" s="891"/>
      <c r="O180" s="891"/>
      <c r="P180" s="891"/>
      <c r="Q180" s="885"/>
    </row>
    <row r="181" spans="2:17">
      <c r="B181" s="887"/>
      <c r="C181" s="887"/>
      <c r="D181" s="957"/>
      <c r="E181" s="887"/>
      <c r="F181" s="891"/>
      <c r="G181" s="891"/>
      <c r="H181" s="892"/>
      <c r="I181" s="892"/>
      <c r="J181" s="901"/>
      <c r="K181" s="885"/>
      <c r="L181" s="891"/>
      <c r="M181" s="891"/>
      <c r="N181" s="891"/>
      <c r="O181" s="891"/>
      <c r="P181" s="891"/>
      <c r="Q181" s="885"/>
    </row>
    <row r="182" spans="2:17">
      <c r="B182" s="887"/>
      <c r="C182" s="887"/>
      <c r="D182" s="957"/>
      <c r="E182" s="887"/>
      <c r="F182" s="891"/>
      <c r="G182" s="891"/>
      <c r="H182" s="892"/>
      <c r="I182" s="892"/>
      <c r="J182" s="901"/>
      <c r="K182" s="885"/>
      <c r="L182" s="891"/>
      <c r="M182" s="891"/>
      <c r="N182" s="891"/>
      <c r="O182" s="891"/>
      <c r="P182" s="891"/>
      <c r="Q182" s="885"/>
    </row>
    <row r="183" spans="2:17">
      <c r="B183" s="887"/>
      <c r="C183" s="887"/>
      <c r="D183" s="957"/>
      <c r="E183" s="887"/>
      <c r="F183" s="891"/>
      <c r="G183" s="891"/>
      <c r="H183" s="892"/>
      <c r="I183" s="892"/>
      <c r="J183" s="901"/>
      <c r="K183" s="885"/>
      <c r="L183" s="891"/>
      <c r="M183" s="891"/>
      <c r="N183" s="891"/>
      <c r="O183" s="891"/>
      <c r="P183" s="891"/>
      <c r="Q183" s="885"/>
    </row>
    <row r="184" spans="2:17">
      <c r="B184" s="887"/>
      <c r="C184" s="887"/>
      <c r="D184" s="957"/>
      <c r="E184" s="887"/>
      <c r="F184" s="891"/>
      <c r="G184" s="891"/>
      <c r="H184" s="892"/>
      <c r="I184" s="892"/>
      <c r="J184" s="901"/>
      <c r="K184" s="885"/>
      <c r="L184" s="891"/>
      <c r="M184" s="891"/>
      <c r="N184" s="891"/>
      <c r="O184" s="891"/>
      <c r="P184" s="891"/>
      <c r="Q184" s="885"/>
    </row>
    <row r="185" spans="2:17">
      <c r="B185" s="887"/>
      <c r="C185" s="887"/>
      <c r="D185" s="957"/>
      <c r="E185" s="887"/>
      <c r="F185" s="891"/>
      <c r="G185" s="891"/>
      <c r="H185" s="892"/>
      <c r="I185" s="892"/>
      <c r="J185" s="901"/>
      <c r="K185" s="885"/>
      <c r="L185" s="891"/>
      <c r="M185" s="891"/>
      <c r="N185" s="891"/>
      <c r="O185" s="891"/>
      <c r="P185" s="891"/>
      <c r="Q185" s="885"/>
    </row>
    <row r="186" spans="2:17">
      <c r="B186" s="887"/>
      <c r="C186" s="887"/>
      <c r="D186" s="957"/>
      <c r="E186" s="887"/>
      <c r="F186" s="891"/>
      <c r="G186" s="891"/>
      <c r="H186" s="892"/>
      <c r="I186" s="892"/>
      <c r="J186" s="901"/>
      <c r="K186" s="885"/>
      <c r="L186" s="891"/>
      <c r="M186" s="891"/>
      <c r="N186" s="891"/>
      <c r="O186" s="891"/>
      <c r="P186" s="891"/>
      <c r="Q186" s="885"/>
    </row>
    <row r="187" spans="2:17">
      <c r="B187" s="887"/>
      <c r="C187" s="887"/>
      <c r="D187" s="887"/>
      <c r="E187" s="887"/>
      <c r="F187" s="891"/>
      <c r="G187" s="891"/>
      <c r="H187" s="892"/>
      <c r="I187" s="892"/>
      <c r="J187" s="885"/>
      <c r="K187" s="885"/>
      <c r="L187" s="891"/>
      <c r="M187" s="891"/>
      <c r="N187" s="891"/>
      <c r="O187" s="891"/>
      <c r="P187" s="961"/>
      <c r="Q187" s="885"/>
    </row>
    <row r="188" spans="2:17">
      <c r="B188" s="887"/>
      <c r="C188" s="887"/>
      <c r="D188" s="887"/>
      <c r="E188" s="887"/>
      <c r="F188" s="891"/>
      <c r="G188" s="891"/>
      <c r="H188" s="892"/>
      <c r="I188" s="892"/>
      <c r="J188" s="885"/>
      <c r="K188" s="885"/>
      <c r="L188" s="891"/>
      <c r="M188" s="891"/>
      <c r="N188" s="891"/>
      <c r="O188" s="891"/>
      <c r="P188" s="961"/>
      <c r="Q188" s="885"/>
    </row>
    <row r="189" spans="2:17">
      <c r="B189" s="887"/>
      <c r="C189" s="887"/>
      <c r="D189" s="887"/>
      <c r="E189" s="887"/>
      <c r="F189" s="891"/>
      <c r="G189" s="891"/>
      <c r="H189" s="892"/>
      <c r="I189" s="892"/>
      <c r="J189" s="885"/>
      <c r="K189" s="885"/>
      <c r="L189" s="896"/>
      <c r="M189" s="891"/>
      <c r="N189" s="891"/>
      <c r="O189" s="891"/>
      <c r="P189" s="961"/>
      <c r="Q189" s="885"/>
    </row>
    <row r="190" spans="2:17">
      <c r="B190" s="887"/>
      <c r="C190" s="887"/>
      <c r="D190" s="887"/>
      <c r="E190" s="887"/>
      <c r="F190" s="891"/>
      <c r="G190" s="891"/>
      <c r="H190" s="892"/>
      <c r="I190" s="892"/>
      <c r="J190" s="885"/>
      <c r="K190" s="885"/>
      <c r="L190" s="896"/>
      <c r="M190" s="891"/>
      <c r="N190" s="891"/>
      <c r="O190" s="891"/>
      <c r="P190" s="961"/>
      <c r="Q190" s="885"/>
    </row>
    <row r="191" spans="2:17">
      <c r="B191" s="887"/>
      <c r="C191" s="887"/>
      <c r="D191" s="958"/>
      <c r="E191" s="887"/>
      <c r="F191" s="893"/>
      <c r="G191" s="893"/>
      <c r="H191" s="892"/>
      <c r="I191" s="892"/>
      <c r="J191" s="900"/>
      <c r="K191" s="887"/>
      <c r="L191" s="891"/>
      <c r="M191" s="891"/>
      <c r="N191" s="891"/>
      <c r="O191" s="891"/>
      <c r="P191" s="961"/>
      <c r="Q191" s="885"/>
    </row>
    <row r="192" spans="2:17">
      <c r="B192" s="887"/>
      <c r="C192" s="887"/>
      <c r="D192" s="958"/>
      <c r="E192" s="887"/>
      <c r="F192" s="893"/>
      <c r="G192" s="893"/>
      <c r="H192" s="892"/>
      <c r="I192" s="892"/>
      <c r="J192" s="900"/>
      <c r="K192" s="887"/>
      <c r="L192" s="891"/>
      <c r="M192" s="891"/>
      <c r="N192" s="891"/>
      <c r="O192" s="891"/>
      <c r="P192" s="961"/>
      <c r="Q192" s="885"/>
    </row>
    <row r="193" spans="2:17">
      <c r="B193" s="887"/>
      <c r="C193" s="887"/>
      <c r="D193" s="958"/>
      <c r="E193" s="887"/>
      <c r="F193" s="893"/>
      <c r="G193" s="893"/>
      <c r="H193" s="892"/>
      <c r="I193" s="892"/>
      <c r="J193" s="887"/>
      <c r="K193" s="887"/>
      <c r="L193" s="891"/>
      <c r="M193" s="891"/>
      <c r="N193" s="891"/>
      <c r="O193" s="891"/>
      <c r="P193" s="961"/>
      <c r="Q193" s="885"/>
    </row>
    <row r="194" spans="2:17">
      <c r="B194" s="887"/>
      <c r="C194" s="887"/>
      <c r="D194" s="958"/>
      <c r="E194" s="887"/>
      <c r="F194" s="893"/>
      <c r="G194" s="893"/>
      <c r="H194" s="892"/>
      <c r="I194" s="892"/>
      <c r="J194" s="887"/>
      <c r="K194" s="887"/>
      <c r="L194" s="891"/>
      <c r="M194" s="891"/>
      <c r="N194" s="891"/>
      <c r="O194" s="891"/>
      <c r="P194" s="891"/>
      <c r="Q194" s="885"/>
    </row>
    <row r="195" spans="2:17">
      <c r="B195" s="897"/>
      <c r="C195" s="897"/>
      <c r="D195" s="958"/>
      <c r="E195" s="887"/>
      <c r="F195" s="891"/>
      <c r="G195" s="891"/>
      <c r="H195" s="892"/>
      <c r="I195" s="892"/>
      <c r="J195" s="887"/>
      <c r="K195" s="887"/>
      <c r="L195" s="896"/>
      <c r="M195" s="896"/>
      <c r="N195" s="891"/>
      <c r="O195" s="891"/>
      <c r="P195" s="891"/>
      <c r="Q195" s="885"/>
    </row>
    <row r="196" spans="2:17">
      <c r="B196" s="887"/>
      <c r="C196" s="887"/>
      <c r="D196" s="887"/>
      <c r="E196" s="887"/>
      <c r="F196" s="895"/>
      <c r="G196" s="893"/>
      <c r="H196" s="892"/>
      <c r="I196" s="892"/>
      <c r="J196" s="887"/>
      <c r="K196" s="887"/>
      <c r="L196" s="891"/>
      <c r="M196" s="891"/>
      <c r="N196" s="891"/>
      <c r="O196" s="891"/>
      <c r="P196" s="891"/>
      <c r="Q196" s="885"/>
    </row>
    <row r="197" spans="2:17">
      <c r="B197" s="887"/>
      <c r="C197" s="887"/>
      <c r="D197" s="887"/>
      <c r="E197" s="887"/>
      <c r="F197" s="893"/>
      <c r="G197" s="893"/>
      <c r="H197" s="892"/>
      <c r="I197" s="892"/>
      <c r="J197" s="887"/>
      <c r="K197" s="887"/>
      <c r="L197" s="891"/>
      <c r="M197" s="891"/>
      <c r="N197" s="891"/>
      <c r="O197" s="891"/>
      <c r="P197" s="891"/>
      <c r="Q197" s="885"/>
    </row>
    <row r="198" spans="2:17">
      <c r="B198" s="887"/>
      <c r="C198" s="887"/>
      <c r="D198" s="887"/>
      <c r="E198" s="887"/>
      <c r="F198" s="893"/>
      <c r="G198" s="893"/>
      <c r="H198" s="892"/>
      <c r="I198" s="892"/>
      <c r="J198" s="887"/>
      <c r="K198" s="887"/>
      <c r="L198" s="891"/>
      <c r="M198" s="891"/>
      <c r="N198" s="891"/>
      <c r="O198" s="891"/>
      <c r="P198" s="891"/>
      <c r="Q198" s="885"/>
    </row>
    <row r="199" spans="2:17">
      <c r="B199" s="887"/>
      <c r="C199" s="887"/>
      <c r="D199" s="957"/>
      <c r="E199" s="887"/>
      <c r="F199" s="893"/>
      <c r="G199" s="893"/>
      <c r="H199" s="892"/>
      <c r="I199" s="892"/>
      <c r="J199" s="887"/>
      <c r="K199" s="887"/>
      <c r="L199" s="891"/>
      <c r="M199" s="891"/>
      <c r="N199" s="891"/>
      <c r="O199" s="891"/>
      <c r="P199" s="891"/>
      <c r="Q199" s="885"/>
    </row>
    <row r="200" spans="2:17">
      <c r="B200" s="887"/>
      <c r="C200" s="887"/>
      <c r="D200" s="957"/>
      <c r="E200" s="887"/>
      <c r="F200" s="893"/>
      <c r="G200" s="893"/>
      <c r="H200" s="892"/>
      <c r="I200" s="892"/>
      <c r="J200" s="887"/>
      <c r="K200" s="887"/>
      <c r="L200" s="891"/>
      <c r="M200" s="891"/>
      <c r="N200" s="891"/>
      <c r="O200" s="891"/>
      <c r="P200" s="891"/>
      <c r="Q200" s="885"/>
    </row>
    <row r="201" spans="2:17">
      <c r="B201" s="887"/>
      <c r="C201" s="887"/>
      <c r="D201" s="957"/>
      <c r="E201" s="887"/>
      <c r="F201" s="893"/>
      <c r="G201" s="893"/>
      <c r="H201" s="892"/>
      <c r="I201" s="892"/>
      <c r="J201" s="887"/>
      <c r="K201" s="887"/>
      <c r="L201" s="891"/>
      <c r="M201" s="891"/>
      <c r="N201" s="891"/>
      <c r="O201" s="891"/>
      <c r="P201" s="891"/>
      <c r="Q201" s="885"/>
    </row>
    <row r="202" spans="2:17">
      <c r="B202" s="887"/>
      <c r="C202" s="887"/>
      <c r="D202" s="957"/>
      <c r="E202" s="887"/>
      <c r="F202" s="893"/>
      <c r="G202" s="893"/>
      <c r="H202" s="892"/>
      <c r="I202" s="892"/>
      <c r="J202" s="887"/>
      <c r="K202" s="887"/>
      <c r="L202" s="891"/>
      <c r="M202" s="891"/>
      <c r="N202" s="891"/>
      <c r="O202" s="891"/>
      <c r="P202" s="891"/>
      <c r="Q202" s="885"/>
    </row>
    <row r="203" spans="2:17">
      <c r="B203" s="887"/>
      <c r="C203" s="887"/>
      <c r="D203" s="957"/>
      <c r="E203" s="887"/>
      <c r="F203" s="893"/>
      <c r="G203" s="893"/>
      <c r="H203" s="892"/>
      <c r="I203" s="892"/>
      <c r="J203" s="887"/>
      <c r="K203" s="887"/>
      <c r="L203" s="891"/>
      <c r="M203" s="891"/>
      <c r="N203" s="891"/>
      <c r="O203" s="891"/>
      <c r="P203" s="891"/>
      <c r="Q203" s="885"/>
    </row>
    <row r="204" spans="2:17">
      <c r="B204" s="887"/>
      <c r="C204" s="887"/>
      <c r="D204" s="957"/>
      <c r="E204" s="887"/>
      <c r="F204" s="893"/>
      <c r="G204" s="893"/>
      <c r="H204" s="892"/>
      <c r="I204" s="892"/>
      <c r="J204" s="887"/>
      <c r="K204" s="887"/>
      <c r="L204" s="891"/>
      <c r="M204" s="891"/>
      <c r="N204" s="891"/>
      <c r="O204" s="891"/>
      <c r="P204" s="891"/>
      <c r="Q204" s="885"/>
    </row>
    <row r="205" spans="2:17">
      <c r="B205" s="887"/>
      <c r="C205" s="887"/>
      <c r="D205" s="957"/>
      <c r="E205" s="887"/>
      <c r="F205" s="893"/>
      <c r="G205" s="893"/>
      <c r="H205" s="892"/>
      <c r="I205" s="892"/>
      <c r="J205" s="887"/>
      <c r="K205" s="887"/>
      <c r="L205" s="891"/>
      <c r="M205" s="891"/>
      <c r="N205" s="891"/>
      <c r="O205" s="891"/>
      <c r="P205" s="891"/>
      <c r="Q205" s="885"/>
    </row>
    <row r="206" spans="2:17">
      <c r="B206" s="887"/>
      <c r="C206" s="887"/>
      <c r="D206" s="957"/>
      <c r="E206" s="887"/>
      <c r="F206" s="893"/>
      <c r="G206" s="893"/>
      <c r="H206" s="892"/>
      <c r="I206" s="892"/>
      <c r="J206" s="887"/>
      <c r="K206" s="887"/>
      <c r="L206" s="891"/>
      <c r="M206" s="891"/>
      <c r="N206" s="891"/>
      <c r="O206" s="891"/>
      <c r="P206" s="891"/>
      <c r="Q206" s="885"/>
    </row>
    <row r="207" spans="2:17">
      <c r="B207" s="887"/>
      <c r="C207" s="887"/>
      <c r="D207" s="957"/>
      <c r="E207" s="887"/>
      <c r="F207" s="893"/>
      <c r="G207" s="893"/>
      <c r="H207" s="892"/>
      <c r="I207" s="892"/>
      <c r="J207" s="887"/>
      <c r="K207" s="887"/>
      <c r="L207" s="891"/>
      <c r="M207" s="891"/>
      <c r="N207" s="891"/>
      <c r="O207" s="891"/>
      <c r="P207" s="891"/>
      <c r="Q207" s="885"/>
    </row>
    <row r="208" spans="2:17">
      <c r="B208" s="887"/>
      <c r="C208" s="887"/>
      <c r="D208" s="957"/>
      <c r="E208" s="887"/>
      <c r="F208" s="893"/>
      <c r="G208" s="893"/>
      <c r="H208" s="892"/>
      <c r="I208" s="892"/>
      <c r="J208" s="887"/>
      <c r="K208" s="887"/>
      <c r="L208" s="891"/>
      <c r="M208" s="891"/>
      <c r="N208" s="891"/>
      <c r="O208" s="891"/>
      <c r="P208" s="891"/>
      <c r="Q208" s="885"/>
    </row>
    <row r="209" spans="2:17">
      <c r="B209" s="885"/>
      <c r="C209" s="885"/>
      <c r="D209" s="957"/>
      <c r="E209" s="885"/>
      <c r="F209" s="885"/>
      <c r="G209" s="885"/>
      <c r="H209" s="885"/>
      <c r="I209" s="885"/>
      <c r="J209" s="885"/>
      <c r="K209" s="885"/>
      <c r="L209" s="885"/>
      <c r="M209" s="885"/>
      <c r="N209" s="885"/>
      <c r="O209" s="885"/>
      <c r="P209" s="885"/>
      <c r="Q209" s="885"/>
    </row>
    <row r="210" spans="2:17">
      <c r="B210" s="887"/>
      <c r="C210" s="887"/>
      <c r="D210" s="885"/>
      <c r="E210" s="885"/>
      <c r="F210" s="885"/>
      <c r="G210" s="885"/>
      <c r="H210" s="885"/>
      <c r="I210" s="885"/>
      <c r="J210" s="885"/>
      <c r="K210" s="885"/>
      <c r="L210" s="885"/>
      <c r="M210" s="885"/>
      <c r="N210" s="886"/>
      <c r="O210" s="885"/>
      <c r="P210" s="885"/>
      <c r="Q210" s="885"/>
    </row>
    <row r="211" spans="2:17">
      <c r="B211" s="887"/>
      <c r="C211" s="887"/>
      <c r="D211" s="885"/>
      <c r="E211" s="885"/>
      <c r="F211" s="885"/>
      <c r="G211" s="885"/>
      <c r="H211" s="885"/>
      <c r="I211" s="885"/>
      <c r="J211" s="885"/>
      <c r="K211" s="885"/>
      <c r="L211" s="885"/>
      <c r="M211" s="885"/>
      <c r="N211" s="886"/>
      <c r="O211" s="885"/>
      <c r="P211" s="885"/>
      <c r="Q211" s="885"/>
    </row>
    <row r="212" spans="2:17">
      <c r="B212" s="887"/>
      <c r="C212" s="887"/>
      <c r="D212" s="885"/>
      <c r="E212" s="885"/>
      <c r="F212" s="885"/>
      <c r="G212" s="885"/>
      <c r="H212" s="885"/>
      <c r="I212" s="885"/>
      <c r="J212" s="885"/>
      <c r="K212" s="885"/>
      <c r="L212" s="885"/>
      <c r="M212" s="885"/>
      <c r="N212" s="886"/>
      <c r="O212" s="885"/>
      <c r="P212" s="885"/>
      <c r="Q212" s="885"/>
    </row>
    <row r="213" spans="2:17">
      <c r="B213" s="914"/>
      <c r="C213" s="914"/>
      <c r="D213" s="914"/>
      <c r="E213" s="914"/>
      <c r="F213" s="914"/>
      <c r="G213" s="914"/>
      <c r="H213" s="914"/>
      <c r="I213" s="914"/>
      <c r="J213" s="914"/>
      <c r="K213" s="914"/>
      <c r="L213" s="914"/>
      <c r="M213" s="914"/>
      <c r="N213" s="914"/>
      <c r="O213" s="914"/>
      <c r="P213" s="914"/>
      <c r="Q213" s="885"/>
    </row>
    <row r="214" spans="2:17">
      <c r="B214" s="914"/>
      <c r="C214" s="914"/>
      <c r="D214" s="914"/>
      <c r="E214" s="914"/>
      <c r="F214" s="914"/>
      <c r="G214" s="914"/>
      <c r="H214" s="914"/>
      <c r="I214" s="914"/>
      <c r="J214" s="914"/>
      <c r="K214" s="914"/>
      <c r="L214" s="914"/>
      <c r="M214" s="914"/>
      <c r="N214" s="914"/>
      <c r="O214" s="914"/>
      <c r="P214" s="914"/>
      <c r="Q214" s="885"/>
    </row>
    <row r="215" spans="2:17">
      <c r="B215" s="959"/>
      <c r="C215" s="905"/>
      <c r="D215" s="903"/>
      <c r="E215" s="903"/>
      <c r="F215" s="903"/>
      <c r="G215" s="903"/>
      <c r="H215" s="887"/>
      <c r="I215" s="887"/>
      <c r="J215" s="887"/>
      <c r="K215" s="887"/>
      <c r="L215" s="904"/>
      <c r="M215" s="904"/>
      <c r="N215" s="903"/>
      <c r="O215" s="903"/>
      <c r="P215" s="903"/>
      <c r="Q215" s="885"/>
    </row>
    <row r="216" spans="2:17">
      <c r="B216" s="960"/>
      <c r="C216" s="905"/>
      <c r="D216" s="903"/>
      <c r="E216" s="903"/>
      <c r="F216" s="903"/>
      <c r="G216" s="903"/>
      <c r="H216" s="887"/>
      <c r="I216" s="887"/>
      <c r="J216" s="887"/>
      <c r="K216" s="887"/>
      <c r="L216" s="904"/>
      <c r="M216" s="904"/>
      <c r="N216" s="903"/>
      <c r="O216" s="903"/>
      <c r="P216" s="903"/>
      <c r="Q216" s="885"/>
    </row>
    <row r="217" spans="2:17">
      <c r="B217" s="959"/>
      <c r="C217" s="905"/>
      <c r="D217" s="903"/>
      <c r="E217" s="903"/>
      <c r="F217" s="903"/>
      <c r="G217" s="903"/>
      <c r="H217" s="887"/>
      <c r="I217" s="887"/>
      <c r="J217" s="887"/>
      <c r="K217" s="887"/>
      <c r="L217" s="904"/>
      <c r="M217" s="904"/>
      <c r="N217" s="903"/>
      <c r="O217" s="903"/>
      <c r="P217" s="903"/>
      <c r="Q217" s="885"/>
    </row>
    <row r="218" spans="2:17">
      <c r="B218" s="887"/>
      <c r="C218" s="887"/>
      <c r="D218" s="957"/>
      <c r="E218" s="887"/>
      <c r="F218" s="891"/>
      <c r="G218" s="891"/>
      <c r="H218" s="892"/>
      <c r="I218" s="892"/>
      <c r="J218" s="900"/>
      <c r="K218" s="887"/>
      <c r="L218" s="891"/>
      <c r="M218" s="891"/>
      <c r="N218" s="891"/>
      <c r="O218" s="891"/>
      <c r="P218" s="891"/>
      <c r="Q218" s="885"/>
    </row>
    <row r="219" spans="2:17">
      <c r="B219" s="887"/>
      <c r="C219" s="887"/>
      <c r="D219" s="957"/>
      <c r="E219" s="887"/>
      <c r="F219" s="891"/>
      <c r="G219" s="891"/>
      <c r="H219" s="892"/>
      <c r="I219" s="892"/>
      <c r="J219" s="901"/>
      <c r="K219" s="885"/>
      <c r="L219" s="891"/>
      <c r="M219" s="891"/>
      <c r="N219" s="891"/>
      <c r="O219" s="891"/>
      <c r="P219" s="891"/>
      <c r="Q219" s="885"/>
    </row>
    <row r="220" spans="2:17">
      <c r="B220" s="887"/>
      <c r="C220" s="887"/>
      <c r="D220" s="957"/>
      <c r="E220" s="887"/>
      <c r="F220" s="891"/>
      <c r="G220" s="891"/>
      <c r="H220" s="892"/>
      <c r="I220" s="892"/>
      <c r="J220" s="901"/>
      <c r="K220" s="885"/>
      <c r="L220" s="891"/>
      <c r="M220" s="891"/>
      <c r="N220" s="891"/>
      <c r="O220" s="891"/>
      <c r="P220" s="891"/>
      <c r="Q220" s="885"/>
    </row>
    <row r="221" spans="2:17">
      <c r="B221" s="887"/>
      <c r="C221" s="887"/>
      <c r="D221" s="957"/>
      <c r="E221" s="887"/>
      <c r="F221" s="891"/>
      <c r="G221" s="891"/>
      <c r="H221" s="892"/>
      <c r="I221" s="892"/>
      <c r="J221" s="901"/>
      <c r="K221" s="885"/>
      <c r="L221" s="891"/>
      <c r="M221" s="891"/>
      <c r="N221" s="891"/>
      <c r="O221" s="891"/>
      <c r="P221" s="891"/>
      <c r="Q221" s="885"/>
    </row>
    <row r="222" spans="2:17">
      <c r="B222" s="887"/>
      <c r="C222" s="887"/>
      <c r="D222" s="957"/>
      <c r="E222" s="887"/>
      <c r="F222" s="891"/>
      <c r="G222" s="891"/>
      <c r="H222" s="892"/>
      <c r="I222" s="892"/>
      <c r="J222" s="901"/>
      <c r="K222" s="885"/>
      <c r="L222" s="891"/>
      <c r="M222" s="891"/>
      <c r="N222" s="891"/>
      <c r="O222" s="891"/>
      <c r="P222" s="891"/>
      <c r="Q222" s="885"/>
    </row>
    <row r="223" spans="2:17">
      <c r="B223" s="887"/>
      <c r="C223" s="887"/>
      <c r="D223" s="957"/>
      <c r="E223" s="887"/>
      <c r="F223" s="891"/>
      <c r="G223" s="891"/>
      <c r="H223" s="892"/>
      <c r="I223" s="892"/>
      <c r="J223" s="901"/>
      <c r="K223" s="885"/>
      <c r="L223" s="891"/>
      <c r="M223" s="891"/>
      <c r="N223" s="891"/>
      <c r="O223" s="891"/>
      <c r="P223" s="891"/>
      <c r="Q223" s="885"/>
    </row>
    <row r="224" spans="2:17">
      <c r="B224" s="887"/>
      <c r="C224" s="887"/>
      <c r="D224" s="957"/>
      <c r="E224" s="887"/>
      <c r="F224" s="891"/>
      <c r="G224" s="891"/>
      <c r="H224" s="892"/>
      <c r="I224" s="892"/>
      <c r="J224" s="901"/>
      <c r="K224" s="885"/>
      <c r="L224" s="891"/>
      <c r="M224" s="891"/>
      <c r="N224" s="891"/>
      <c r="O224" s="891"/>
      <c r="P224" s="891"/>
      <c r="Q224" s="885"/>
    </row>
    <row r="225" spans="2:17">
      <c r="B225" s="887"/>
      <c r="C225" s="887"/>
      <c r="D225" s="957"/>
      <c r="E225" s="887"/>
      <c r="F225" s="891"/>
      <c r="G225" s="891"/>
      <c r="H225" s="892"/>
      <c r="I225" s="892"/>
      <c r="J225" s="901"/>
      <c r="K225" s="885"/>
      <c r="L225" s="891"/>
      <c r="M225" s="891"/>
      <c r="N225" s="891"/>
      <c r="O225" s="891"/>
      <c r="P225" s="891"/>
      <c r="Q225" s="885"/>
    </row>
    <row r="226" spans="2:17">
      <c r="B226" s="887"/>
      <c r="C226" s="887"/>
      <c r="D226" s="957"/>
      <c r="E226" s="887"/>
      <c r="F226" s="891"/>
      <c r="G226" s="891"/>
      <c r="H226" s="892"/>
      <c r="I226" s="892"/>
      <c r="J226" s="901"/>
      <c r="K226" s="885"/>
      <c r="L226" s="891"/>
      <c r="M226" s="891"/>
      <c r="N226" s="891"/>
      <c r="O226" s="891"/>
      <c r="P226" s="891"/>
      <c r="Q226" s="885"/>
    </row>
    <row r="227" spans="2:17">
      <c r="B227" s="887"/>
      <c r="C227" s="887"/>
      <c r="D227" s="957"/>
      <c r="E227" s="887"/>
      <c r="F227" s="891"/>
      <c r="G227" s="891"/>
      <c r="H227" s="892"/>
      <c r="I227" s="892"/>
      <c r="J227" s="901"/>
      <c r="K227" s="885"/>
      <c r="L227" s="891"/>
      <c r="M227" s="891"/>
      <c r="N227" s="891"/>
      <c r="O227" s="891"/>
      <c r="P227" s="891"/>
      <c r="Q227" s="885"/>
    </row>
    <row r="228" spans="2:17">
      <c r="B228" s="887"/>
      <c r="C228" s="887"/>
      <c r="D228" s="957"/>
      <c r="E228" s="887"/>
      <c r="F228" s="891"/>
      <c r="G228" s="891"/>
      <c r="H228" s="892"/>
      <c r="I228" s="892"/>
      <c r="J228" s="901"/>
      <c r="K228" s="885"/>
      <c r="L228" s="891"/>
      <c r="M228" s="891"/>
      <c r="N228" s="891"/>
      <c r="O228" s="891"/>
      <c r="P228" s="891"/>
      <c r="Q228" s="885"/>
    </row>
    <row r="229" spans="2:17">
      <c r="B229" s="887"/>
      <c r="C229" s="887"/>
      <c r="D229" s="957"/>
      <c r="E229" s="887"/>
      <c r="F229" s="891"/>
      <c r="G229" s="891"/>
      <c r="H229" s="892"/>
      <c r="I229" s="892"/>
      <c r="J229" s="901"/>
      <c r="K229" s="885"/>
      <c r="L229" s="891"/>
      <c r="M229" s="891"/>
      <c r="N229" s="891"/>
      <c r="O229" s="891"/>
      <c r="P229" s="891"/>
      <c r="Q229" s="885"/>
    </row>
    <row r="230" spans="2:17">
      <c r="B230" s="887"/>
      <c r="C230" s="887"/>
      <c r="D230" s="887"/>
      <c r="E230" s="887"/>
      <c r="F230" s="891"/>
      <c r="G230" s="891"/>
      <c r="H230" s="892"/>
      <c r="I230" s="892"/>
      <c r="J230" s="885"/>
      <c r="K230" s="885"/>
      <c r="L230" s="891"/>
      <c r="M230" s="891"/>
      <c r="N230" s="891"/>
      <c r="O230" s="891"/>
      <c r="P230" s="961"/>
      <c r="Q230" s="885"/>
    </row>
    <row r="231" spans="2:17">
      <c r="B231" s="887"/>
      <c r="C231" s="887"/>
      <c r="D231" s="887"/>
      <c r="E231" s="887"/>
      <c r="F231" s="891"/>
      <c r="G231" s="891"/>
      <c r="H231" s="892"/>
      <c r="I231" s="892"/>
      <c r="J231" s="885"/>
      <c r="K231" s="885"/>
      <c r="L231" s="891"/>
      <c r="M231" s="891"/>
      <c r="N231" s="891"/>
      <c r="O231" s="891"/>
      <c r="P231" s="961"/>
      <c r="Q231" s="885"/>
    </row>
    <row r="232" spans="2:17">
      <c r="B232" s="887"/>
      <c r="C232" s="887"/>
      <c r="D232" s="887"/>
      <c r="E232" s="887"/>
      <c r="F232" s="891"/>
      <c r="G232" s="891"/>
      <c r="H232" s="892"/>
      <c r="I232" s="892"/>
      <c r="J232" s="885"/>
      <c r="K232" s="885"/>
      <c r="L232" s="896"/>
      <c r="M232" s="891"/>
      <c r="N232" s="891"/>
      <c r="O232" s="891"/>
      <c r="P232" s="961"/>
      <c r="Q232" s="885"/>
    </row>
    <row r="233" spans="2:17">
      <c r="B233" s="887"/>
      <c r="C233" s="887"/>
      <c r="D233" s="887"/>
      <c r="E233" s="887"/>
      <c r="F233" s="891"/>
      <c r="G233" s="891"/>
      <c r="H233" s="892"/>
      <c r="I233" s="892"/>
      <c r="J233" s="885"/>
      <c r="K233" s="885"/>
      <c r="L233" s="896"/>
      <c r="M233" s="891"/>
      <c r="N233" s="891"/>
      <c r="O233" s="891"/>
      <c r="P233" s="961"/>
      <c r="Q233" s="885"/>
    </row>
    <row r="234" spans="2:17">
      <c r="B234" s="887"/>
      <c r="C234" s="887"/>
      <c r="D234" s="958"/>
      <c r="E234" s="887"/>
      <c r="F234" s="893"/>
      <c r="G234" s="893"/>
      <c r="H234" s="892"/>
      <c r="I234" s="892"/>
      <c r="J234" s="900"/>
      <c r="K234" s="887"/>
      <c r="L234" s="891"/>
      <c r="M234" s="891"/>
      <c r="N234" s="891"/>
      <c r="O234" s="891"/>
      <c r="P234" s="961"/>
      <c r="Q234" s="885"/>
    </row>
    <row r="235" spans="2:17">
      <c r="B235" s="887"/>
      <c r="C235" s="887"/>
      <c r="D235" s="958"/>
      <c r="E235" s="887"/>
      <c r="F235" s="893"/>
      <c r="G235" s="893"/>
      <c r="H235" s="892"/>
      <c r="I235" s="892"/>
      <c r="J235" s="887"/>
      <c r="K235" s="887"/>
      <c r="L235" s="891"/>
      <c r="M235" s="891"/>
      <c r="N235" s="891"/>
      <c r="O235" s="891"/>
      <c r="P235" s="961"/>
      <c r="Q235" s="885"/>
    </row>
    <row r="236" spans="2:17">
      <c r="B236" s="887"/>
      <c r="C236" s="887"/>
      <c r="D236" s="958"/>
      <c r="E236" s="887"/>
      <c r="F236" s="893"/>
      <c r="G236" s="893"/>
      <c r="H236" s="892"/>
      <c r="I236" s="892"/>
      <c r="J236" s="887"/>
      <c r="K236" s="887"/>
      <c r="L236" s="891"/>
      <c r="M236" s="891"/>
      <c r="N236" s="891"/>
      <c r="O236" s="891"/>
      <c r="P236" s="891"/>
      <c r="Q236" s="885"/>
    </row>
    <row r="237" spans="2:17">
      <c r="B237" s="897"/>
      <c r="C237" s="897"/>
      <c r="D237" s="958"/>
      <c r="E237" s="887"/>
      <c r="F237" s="891"/>
      <c r="G237" s="891"/>
      <c r="H237" s="892"/>
      <c r="I237" s="892"/>
      <c r="J237" s="887"/>
      <c r="K237" s="887"/>
      <c r="L237" s="896"/>
      <c r="M237" s="896"/>
      <c r="N237" s="891"/>
      <c r="O237" s="891"/>
      <c r="P237" s="891"/>
      <c r="Q237" s="885"/>
    </row>
    <row r="238" spans="2:17">
      <c r="B238" s="887"/>
      <c r="C238" s="887"/>
      <c r="D238" s="958"/>
      <c r="E238" s="887"/>
      <c r="F238" s="895"/>
      <c r="G238" s="893"/>
      <c r="H238" s="892"/>
      <c r="I238" s="892"/>
      <c r="J238" s="887"/>
      <c r="K238" s="887"/>
      <c r="L238" s="891"/>
      <c r="M238" s="891"/>
      <c r="N238" s="891"/>
      <c r="O238" s="891"/>
      <c r="P238" s="891"/>
      <c r="Q238" s="885"/>
    </row>
    <row r="239" spans="2:17">
      <c r="B239" s="887"/>
      <c r="C239" s="887"/>
      <c r="D239" s="887"/>
      <c r="E239" s="887"/>
      <c r="F239" s="893"/>
      <c r="G239" s="893"/>
      <c r="H239" s="892"/>
      <c r="I239" s="892"/>
      <c r="J239" s="887"/>
      <c r="K239" s="887"/>
      <c r="L239" s="891"/>
      <c r="M239" s="891"/>
      <c r="N239" s="891"/>
      <c r="O239" s="891"/>
      <c r="P239" s="891"/>
      <c r="Q239" s="885"/>
    </row>
    <row r="240" spans="2:17">
      <c r="B240" s="887"/>
      <c r="C240" s="887"/>
      <c r="D240" s="887"/>
      <c r="E240" s="887"/>
      <c r="F240" s="893"/>
      <c r="G240" s="893"/>
      <c r="H240" s="892"/>
      <c r="I240" s="892"/>
      <c r="J240" s="887"/>
      <c r="K240" s="887"/>
      <c r="L240" s="891"/>
      <c r="M240" s="891"/>
      <c r="N240" s="891"/>
      <c r="O240" s="891"/>
      <c r="P240" s="891"/>
      <c r="Q240" s="885"/>
    </row>
    <row r="241" spans="2:17">
      <c r="B241" s="887"/>
      <c r="C241" s="887"/>
      <c r="D241" s="887"/>
      <c r="E241" s="887"/>
      <c r="F241" s="893"/>
      <c r="G241" s="893"/>
      <c r="H241" s="892"/>
      <c r="I241" s="892"/>
      <c r="J241" s="887"/>
      <c r="K241" s="887"/>
      <c r="L241" s="891"/>
      <c r="M241" s="891"/>
      <c r="N241" s="891"/>
      <c r="O241" s="891"/>
      <c r="P241" s="891"/>
      <c r="Q241" s="885"/>
    </row>
    <row r="242" spans="2:17">
      <c r="B242" s="887"/>
      <c r="C242" s="887"/>
      <c r="D242" s="957"/>
      <c r="E242" s="887"/>
      <c r="F242" s="893"/>
      <c r="G242" s="893"/>
      <c r="H242" s="892"/>
      <c r="I242" s="892"/>
      <c r="J242" s="887"/>
      <c r="K242" s="887"/>
      <c r="L242" s="891"/>
      <c r="M242" s="891"/>
      <c r="N242" s="891"/>
      <c r="O242" s="891"/>
      <c r="P242" s="891"/>
      <c r="Q242" s="885"/>
    </row>
    <row r="243" spans="2:17">
      <c r="B243" s="887"/>
      <c r="C243" s="887"/>
      <c r="D243" s="957"/>
      <c r="E243" s="887"/>
      <c r="F243" s="893"/>
      <c r="G243" s="893"/>
      <c r="H243" s="892"/>
      <c r="I243" s="892"/>
      <c r="J243" s="887"/>
      <c r="K243" s="887"/>
      <c r="L243" s="891"/>
      <c r="M243" s="891"/>
      <c r="N243" s="891"/>
      <c r="O243" s="891"/>
      <c r="P243" s="891"/>
      <c r="Q243" s="885"/>
    </row>
    <row r="244" spans="2:17">
      <c r="B244" s="887"/>
      <c r="C244" s="887"/>
      <c r="D244" s="957"/>
      <c r="E244" s="887"/>
      <c r="F244" s="893"/>
      <c r="G244" s="893"/>
      <c r="H244" s="892"/>
      <c r="I244" s="892"/>
      <c r="J244" s="887"/>
      <c r="K244" s="887"/>
      <c r="L244" s="891"/>
      <c r="M244" s="891"/>
      <c r="N244" s="891"/>
      <c r="O244" s="891"/>
      <c r="P244" s="891"/>
      <c r="Q244" s="885"/>
    </row>
    <row r="245" spans="2:17">
      <c r="B245" s="887"/>
      <c r="C245" s="887"/>
      <c r="D245" s="957"/>
      <c r="E245" s="887"/>
      <c r="F245" s="893"/>
      <c r="G245" s="893"/>
      <c r="H245" s="892"/>
      <c r="I245" s="892"/>
      <c r="J245" s="887"/>
      <c r="K245" s="887"/>
      <c r="L245" s="891"/>
      <c r="M245" s="891"/>
      <c r="N245" s="891"/>
      <c r="O245" s="891"/>
      <c r="P245" s="891"/>
      <c r="Q245" s="885"/>
    </row>
    <row r="246" spans="2:17">
      <c r="B246" s="887"/>
      <c r="C246" s="887"/>
      <c r="D246" s="957"/>
      <c r="E246" s="887"/>
      <c r="F246" s="893"/>
      <c r="G246" s="893"/>
      <c r="H246" s="892"/>
      <c r="I246" s="892"/>
      <c r="J246" s="887"/>
      <c r="K246" s="887"/>
      <c r="L246" s="891"/>
      <c r="M246" s="891"/>
      <c r="N246" s="891"/>
      <c r="O246" s="891"/>
      <c r="P246" s="891"/>
      <c r="Q246" s="885"/>
    </row>
    <row r="247" spans="2:17">
      <c r="B247" s="887"/>
      <c r="C247" s="887"/>
      <c r="D247" s="957"/>
      <c r="E247" s="887"/>
      <c r="F247" s="893"/>
      <c r="G247" s="893"/>
      <c r="H247" s="892"/>
      <c r="I247" s="892"/>
      <c r="J247" s="887"/>
      <c r="K247" s="887"/>
      <c r="L247" s="891"/>
      <c r="M247" s="891"/>
      <c r="N247" s="891"/>
      <c r="O247" s="891"/>
      <c r="P247" s="891"/>
      <c r="Q247" s="885"/>
    </row>
    <row r="248" spans="2:17">
      <c r="B248" s="887"/>
      <c r="C248" s="887"/>
      <c r="D248" s="957"/>
      <c r="E248" s="887"/>
      <c r="F248" s="893"/>
      <c r="G248" s="893"/>
      <c r="H248" s="892"/>
      <c r="I248" s="892"/>
      <c r="J248" s="887"/>
      <c r="K248" s="887"/>
      <c r="L248" s="891"/>
      <c r="M248" s="891"/>
      <c r="N248" s="891"/>
      <c r="O248" s="891"/>
      <c r="P248" s="891"/>
      <c r="Q248" s="885"/>
    </row>
    <row r="249" spans="2:17">
      <c r="B249" s="887"/>
      <c r="C249" s="887"/>
      <c r="D249" s="957"/>
      <c r="E249" s="887"/>
      <c r="F249" s="893"/>
      <c r="G249" s="893"/>
      <c r="H249" s="892"/>
      <c r="I249" s="892"/>
      <c r="J249" s="887"/>
      <c r="K249" s="887"/>
      <c r="L249" s="891"/>
      <c r="M249" s="891"/>
      <c r="N249" s="891"/>
      <c r="O249" s="891"/>
      <c r="P249" s="891"/>
      <c r="Q249" s="885"/>
    </row>
    <row r="250" spans="2:17">
      <c r="B250" s="887"/>
      <c r="C250" s="887"/>
      <c r="D250" s="957"/>
      <c r="E250" s="887"/>
      <c r="F250" s="893"/>
      <c r="G250" s="893"/>
      <c r="H250" s="892"/>
      <c r="I250" s="892"/>
      <c r="J250" s="887"/>
      <c r="K250" s="887"/>
      <c r="L250" s="891"/>
      <c r="M250" s="891"/>
      <c r="N250" s="891"/>
      <c r="O250" s="891"/>
      <c r="P250" s="891"/>
      <c r="Q250" s="885"/>
    </row>
    <row r="251" spans="2:17">
      <c r="B251" s="885"/>
      <c r="C251" s="885"/>
      <c r="D251" s="957"/>
      <c r="E251" s="885"/>
      <c r="F251" s="885"/>
      <c r="G251" s="885"/>
      <c r="H251" s="885"/>
      <c r="I251" s="885"/>
      <c r="J251" s="885"/>
      <c r="K251" s="885"/>
      <c r="L251" s="885"/>
      <c r="M251" s="885"/>
      <c r="N251" s="885"/>
      <c r="O251" s="885"/>
      <c r="P251" s="885"/>
      <c r="Q251" s="885"/>
    </row>
    <row r="252" spans="2:17">
      <c r="B252" s="887"/>
      <c r="C252" s="887"/>
      <c r="D252" s="957"/>
      <c r="E252" s="885"/>
      <c r="F252" s="885"/>
      <c r="G252" s="885"/>
      <c r="H252" s="885"/>
      <c r="I252" s="885"/>
      <c r="J252" s="885"/>
      <c r="K252" s="885"/>
      <c r="L252" s="885"/>
      <c r="M252" s="885"/>
      <c r="N252" s="886"/>
      <c r="O252" s="885"/>
      <c r="P252" s="885"/>
      <c r="Q252" s="885"/>
    </row>
    <row r="253" spans="2:17">
      <c r="B253" s="887"/>
      <c r="C253" s="887"/>
      <c r="D253" s="885"/>
      <c r="E253" s="885"/>
      <c r="F253" s="885"/>
      <c r="G253" s="885"/>
      <c r="H253" s="885"/>
      <c r="I253" s="885"/>
      <c r="J253" s="885"/>
      <c r="K253" s="885"/>
      <c r="L253" s="885"/>
      <c r="M253" s="885"/>
      <c r="N253" s="886"/>
      <c r="O253" s="885"/>
      <c r="P253" s="885"/>
      <c r="Q253" s="885"/>
    </row>
    <row r="254" spans="2:17">
      <c r="B254" s="887"/>
      <c r="C254" s="887"/>
      <c r="D254" s="885"/>
      <c r="E254" s="885"/>
      <c r="F254" s="885"/>
      <c r="G254" s="885"/>
      <c r="H254" s="885"/>
      <c r="I254" s="885"/>
      <c r="J254" s="885"/>
      <c r="K254" s="885"/>
      <c r="L254" s="885"/>
      <c r="M254" s="885"/>
      <c r="N254" s="886"/>
      <c r="O254" s="885"/>
      <c r="P254" s="885"/>
      <c r="Q254" s="885"/>
    </row>
    <row r="255" spans="2:17">
      <c r="B255" s="914"/>
      <c r="C255" s="914"/>
      <c r="D255" s="914"/>
      <c r="E255" s="914"/>
      <c r="F255" s="914"/>
      <c r="G255" s="914"/>
      <c r="H255" s="914"/>
      <c r="I255" s="914"/>
      <c r="J255" s="914"/>
      <c r="K255" s="914"/>
      <c r="L255" s="914"/>
      <c r="M255" s="914"/>
      <c r="N255" s="914"/>
      <c r="O255" s="914"/>
      <c r="P255" s="914"/>
      <c r="Q255" s="885"/>
    </row>
    <row r="256" spans="2:17">
      <c r="B256" s="914"/>
      <c r="C256" s="914"/>
      <c r="D256" s="914"/>
      <c r="E256" s="914"/>
      <c r="F256" s="914"/>
      <c r="G256" s="914"/>
      <c r="H256" s="914"/>
      <c r="I256" s="914"/>
      <c r="J256" s="914"/>
      <c r="K256" s="914"/>
      <c r="L256" s="914"/>
      <c r="M256" s="914"/>
      <c r="N256" s="914"/>
      <c r="O256" s="914"/>
      <c r="P256" s="914"/>
      <c r="Q256" s="885"/>
    </row>
    <row r="257" spans="2:17">
      <c r="B257" s="914"/>
      <c r="C257" s="914"/>
      <c r="D257" s="914"/>
      <c r="E257" s="914"/>
      <c r="F257" s="914"/>
      <c r="G257" s="914"/>
      <c r="H257" s="914"/>
      <c r="I257" s="914"/>
      <c r="J257" s="914"/>
      <c r="K257" s="914"/>
      <c r="L257" s="914"/>
      <c r="M257" s="914"/>
      <c r="N257" s="914"/>
      <c r="O257" s="914"/>
      <c r="P257" s="914"/>
      <c r="Q257" s="885"/>
    </row>
    <row r="258" spans="2:17">
      <c r="B258" s="914"/>
      <c r="C258" s="914"/>
      <c r="D258" s="914"/>
      <c r="E258" s="914"/>
      <c r="F258" s="914"/>
      <c r="G258" s="914"/>
      <c r="H258" s="914"/>
      <c r="I258" s="914"/>
      <c r="J258" s="914"/>
      <c r="K258" s="914"/>
      <c r="L258" s="914"/>
      <c r="M258" s="914"/>
      <c r="N258" s="914"/>
      <c r="O258" s="914"/>
      <c r="P258" s="914"/>
      <c r="Q258" s="885"/>
    </row>
    <row r="259" spans="2:17">
      <c r="B259" s="914"/>
      <c r="C259" s="914"/>
      <c r="D259" s="914"/>
      <c r="E259" s="914"/>
      <c r="F259" s="914"/>
      <c r="G259" s="914"/>
      <c r="H259" s="914"/>
      <c r="I259" s="914"/>
      <c r="J259" s="914"/>
      <c r="K259" s="914"/>
      <c r="L259" s="914"/>
      <c r="M259" s="914"/>
      <c r="N259" s="914"/>
      <c r="O259" s="914"/>
      <c r="P259" s="914"/>
      <c r="Q259" s="885"/>
    </row>
    <row r="260" spans="2:17">
      <c r="B260" s="914"/>
      <c r="C260" s="914"/>
      <c r="D260" s="914"/>
      <c r="E260" s="914"/>
      <c r="F260" s="914"/>
      <c r="G260" s="914"/>
      <c r="H260" s="914"/>
      <c r="I260" s="914"/>
      <c r="J260" s="914"/>
      <c r="K260" s="914"/>
      <c r="L260" s="914"/>
      <c r="M260" s="914"/>
      <c r="N260" s="914"/>
      <c r="O260" s="914"/>
      <c r="P260" s="914"/>
      <c r="Q260" s="885"/>
    </row>
    <row r="261" spans="2:17">
      <c r="B261" s="914"/>
      <c r="C261" s="914"/>
      <c r="D261" s="914"/>
      <c r="E261" s="914"/>
      <c r="F261" s="914"/>
      <c r="G261" s="914"/>
      <c r="H261" s="914"/>
      <c r="I261" s="914"/>
      <c r="J261" s="914"/>
      <c r="K261" s="914"/>
      <c r="L261" s="914"/>
      <c r="M261" s="914"/>
      <c r="N261" s="914"/>
      <c r="O261" s="914"/>
      <c r="P261" s="914"/>
      <c r="Q261" s="885"/>
    </row>
    <row r="262" spans="2:17">
      <c r="B262" s="914"/>
      <c r="C262" s="914"/>
      <c r="D262" s="914"/>
      <c r="E262" s="914"/>
      <c r="F262" s="914"/>
      <c r="G262" s="914"/>
      <c r="H262" s="914"/>
      <c r="I262" s="914"/>
      <c r="J262" s="914"/>
      <c r="K262" s="914"/>
      <c r="L262" s="914"/>
      <c r="M262" s="914"/>
      <c r="N262" s="914"/>
      <c r="O262" s="914"/>
      <c r="P262" s="914"/>
      <c r="Q262" s="885"/>
    </row>
    <row r="263" spans="2:17">
      <c r="B263" s="914"/>
      <c r="C263" s="914"/>
      <c r="D263" s="914"/>
      <c r="E263" s="914"/>
      <c r="F263" s="914"/>
      <c r="G263" s="914"/>
      <c r="H263" s="914"/>
      <c r="I263" s="914"/>
      <c r="J263" s="914"/>
      <c r="K263" s="914"/>
      <c r="L263" s="914"/>
      <c r="M263" s="914"/>
      <c r="N263" s="914"/>
      <c r="O263" s="914"/>
      <c r="P263" s="914"/>
      <c r="Q263" s="885"/>
    </row>
    <row r="264" spans="2:17">
      <c r="B264" s="914"/>
      <c r="C264" s="914"/>
      <c r="D264" s="914"/>
      <c r="E264" s="914"/>
      <c r="F264" s="914"/>
      <c r="G264" s="914"/>
      <c r="H264" s="914"/>
      <c r="I264" s="914"/>
      <c r="J264" s="914"/>
      <c r="K264" s="914"/>
      <c r="L264" s="914"/>
      <c r="M264" s="914"/>
      <c r="N264" s="914"/>
      <c r="O264" s="914"/>
      <c r="P264" s="914"/>
      <c r="Q264" s="885"/>
    </row>
    <row r="265" spans="2:17">
      <c r="B265" s="914"/>
      <c r="C265" s="914"/>
      <c r="D265" s="914"/>
      <c r="E265" s="914"/>
      <c r="F265" s="914"/>
      <c r="G265" s="914"/>
      <c r="H265" s="914"/>
      <c r="I265" s="914"/>
      <c r="J265" s="914"/>
      <c r="K265" s="914"/>
      <c r="L265" s="914"/>
      <c r="M265" s="914"/>
      <c r="N265" s="914"/>
      <c r="O265" s="914"/>
      <c r="P265" s="914"/>
      <c r="Q265" s="885"/>
    </row>
    <row r="266" spans="2:17">
      <c r="B266" s="914"/>
      <c r="C266" s="914"/>
      <c r="D266" s="914"/>
      <c r="E266" s="914"/>
      <c r="F266" s="914"/>
      <c r="G266" s="914"/>
      <c r="H266" s="914"/>
      <c r="I266" s="914"/>
      <c r="J266" s="914"/>
      <c r="K266" s="914"/>
      <c r="L266" s="914"/>
      <c r="M266" s="914"/>
      <c r="N266" s="914"/>
      <c r="O266" s="914"/>
      <c r="P266" s="914"/>
      <c r="Q266" s="885"/>
    </row>
    <row r="267" spans="2:17">
      <c r="B267" s="914"/>
      <c r="C267" s="914"/>
      <c r="D267" s="914"/>
      <c r="E267" s="914"/>
      <c r="F267" s="914"/>
      <c r="G267" s="914"/>
      <c r="H267" s="914"/>
      <c r="I267" s="914"/>
      <c r="J267" s="914"/>
      <c r="K267" s="914"/>
      <c r="L267" s="914"/>
      <c r="M267" s="914"/>
      <c r="N267" s="914"/>
      <c r="O267" s="914"/>
      <c r="P267" s="914"/>
      <c r="Q267" s="885"/>
    </row>
    <row r="268" spans="2:17">
      <c r="B268" s="914"/>
      <c r="C268" s="914"/>
      <c r="D268" s="914"/>
      <c r="E268" s="914"/>
      <c r="F268" s="914"/>
      <c r="G268" s="914"/>
      <c r="H268" s="914"/>
      <c r="I268" s="914"/>
      <c r="J268" s="914"/>
      <c r="K268" s="914"/>
      <c r="L268" s="914"/>
      <c r="M268" s="914"/>
      <c r="N268" s="914"/>
      <c r="O268" s="914"/>
      <c r="P268" s="914"/>
      <c r="Q268" s="885"/>
    </row>
    <row r="269" spans="2:17">
      <c r="B269" s="914"/>
      <c r="C269" s="914"/>
      <c r="D269" s="914"/>
      <c r="E269" s="914"/>
      <c r="F269" s="914"/>
      <c r="G269" s="914"/>
      <c r="H269" s="914"/>
      <c r="I269" s="914"/>
      <c r="J269" s="914"/>
      <c r="K269" s="914"/>
      <c r="L269" s="914"/>
      <c r="M269" s="914"/>
      <c r="N269" s="914"/>
      <c r="O269" s="914"/>
      <c r="P269" s="914"/>
      <c r="Q269" s="885"/>
    </row>
    <row r="270" spans="2:17">
      <c r="B270" s="914"/>
      <c r="C270" s="914"/>
      <c r="D270" s="914"/>
      <c r="E270" s="914"/>
      <c r="F270" s="914"/>
      <c r="G270" s="914"/>
      <c r="H270" s="914"/>
      <c r="I270" s="914"/>
      <c r="J270" s="914"/>
      <c r="K270" s="914"/>
      <c r="L270" s="914"/>
      <c r="M270" s="914"/>
      <c r="N270" s="914"/>
      <c r="O270" s="914"/>
      <c r="P270" s="914"/>
      <c r="Q270" s="885"/>
    </row>
    <row r="271" spans="2:17">
      <c r="B271" s="914"/>
      <c r="C271" s="914"/>
      <c r="D271" s="914"/>
      <c r="E271" s="914"/>
      <c r="F271" s="914"/>
      <c r="G271" s="914"/>
      <c r="H271" s="914"/>
      <c r="I271" s="914"/>
      <c r="J271" s="914"/>
      <c r="K271" s="914"/>
      <c r="L271" s="914"/>
      <c r="M271" s="914"/>
      <c r="N271" s="914"/>
      <c r="O271" s="914"/>
      <c r="P271" s="914"/>
      <c r="Q271" s="885"/>
    </row>
    <row r="272" spans="2:17">
      <c r="B272" s="914"/>
      <c r="C272" s="914"/>
      <c r="D272" s="914"/>
      <c r="E272" s="914"/>
      <c r="F272" s="914"/>
      <c r="G272" s="914"/>
      <c r="H272" s="914"/>
      <c r="I272" s="914"/>
      <c r="J272" s="914"/>
      <c r="K272" s="914"/>
      <c r="L272" s="914"/>
      <c r="M272" s="914"/>
      <c r="N272" s="914"/>
      <c r="O272" s="914"/>
      <c r="P272" s="914"/>
      <c r="Q272" s="885"/>
    </row>
    <row r="273" spans="2:17">
      <c r="B273" s="914"/>
      <c r="C273" s="914"/>
      <c r="D273" s="914"/>
      <c r="E273" s="914"/>
      <c r="F273" s="914"/>
      <c r="G273" s="914"/>
      <c r="H273" s="914"/>
      <c r="I273" s="914"/>
      <c r="J273" s="914"/>
      <c r="K273" s="914"/>
      <c r="L273" s="914"/>
      <c r="M273" s="914"/>
      <c r="N273" s="914"/>
      <c r="O273" s="914"/>
      <c r="P273" s="914"/>
      <c r="Q273" s="885"/>
    </row>
    <row r="274" spans="2:17">
      <c r="B274" s="914"/>
      <c r="C274" s="914"/>
      <c r="D274" s="914"/>
      <c r="E274" s="914"/>
      <c r="F274" s="914"/>
      <c r="G274" s="914"/>
      <c r="H274" s="914"/>
      <c r="I274" s="914"/>
      <c r="J274" s="914"/>
      <c r="K274" s="914"/>
      <c r="L274" s="914"/>
      <c r="M274" s="914"/>
      <c r="N274" s="914"/>
      <c r="O274" s="914"/>
      <c r="P274" s="914"/>
      <c r="Q274" s="885"/>
    </row>
    <row r="275" spans="2:17">
      <c r="B275" s="914"/>
      <c r="C275" s="914"/>
      <c r="D275" s="914"/>
      <c r="E275" s="914"/>
      <c r="F275" s="914"/>
      <c r="G275" s="914"/>
      <c r="H275" s="914"/>
      <c r="I275" s="914"/>
      <c r="J275" s="914"/>
      <c r="K275" s="914"/>
      <c r="L275" s="914"/>
      <c r="M275" s="914"/>
      <c r="N275" s="914"/>
      <c r="O275" s="914"/>
      <c r="P275" s="914"/>
      <c r="Q275" s="885"/>
    </row>
    <row r="276" spans="2:17">
      <c r="B276" s="914"/>
      <c r="C276" s="914"/>
      <c r="D276" s="914"/>
      <c r="E276" s="914"/>
      <c r="F276" s="914"/>
      <c r="G276" s="914"/>
      <c r="H276" s="914"/>
      <c r="I276" s="914"/>
      <c r="J276" s="914"/>
      <c r="K276" s="914"/>
      <c r="L276" s="914"/>
      <c r="M276" s="914"/>
      <c r="N276" s="914"/>
      <c r="O276" s="914"/>
      <c r="P276" s="914"/>
      <c r="Q276" s="885"/>
    </row>
    <row r="277" spans="2:17">
      <c r="B277" s="914"/>
      <c r="C277" s="914"/>
      <c r="D277" s="914"/>
      <c r="E277" s="914"/>
      <c r="F277" s="914"/>
      <c r="G277" s="914"/>
      <c r="H277" s="914"/>
      <c r="I277" s="914"/>
      <c r="J277" s="914"/>
      <c r="K277" s="914"/>
      <c r="L277" s="914"/>
      <c r="M277" s="914"/>
      <c r="N277" s="914"/>
      <c r="O277" s="914"/>
      <c r="P277" s="914"/>
      <c r="Q277" s="885"/>
    </row>
    <row r="278" spans="2:17">
      <c r="B278" s="914"/>
      <c r="C278" s="914"/>
      <c r="D278" s="914"/>
      <c r="E278" s="914"/>
      <c r="F278" s="914"/>
      <c r="G278" s="914"/>
      <c r="H278" s="914"/>
      <c r="I278" s="914"/>
      <c r="J278" s="914"/>
      <c r="K278" s="914"/>
      <c r="L278" s="914"/>
      <c r="M278" s="914"/>
      <c r="N278" s="914"/>
      <c r="O278" s="914"/>
      <c r="P278" s="914"/>
      <c r="Q278" s="885"/>
    </row>
    <row r="279" spans="2:17">
      <c r="B279" s="914"/>
      <c r="C279" s="914"/>
      <c r="D279" s="914"/>
      <c r="E279" s="914"/>
      <c r="F279" s="914"/>
      <c r="G279" s="914"/>
      <c r="H279" s="914"/>
      <c r="I279" s="914"/>
      <c r="J279" s="914"/>
      <c r="K279" s="914"/>
      <c r="L279" s="914"/>
      <c r="M279" s="914"/>
      <c r="N279" s="914"/>
      <c r="O279" s="914"/>
      <c r="P279" s="914"/>
      <c r="Q279" s="885"/>
    </row>
    <row r="280" spans="2:17">
      <c r="B280" s="914"/>
      <c r="C280" s="914"/>
      <c r="D280" s="914"/>
      <c r="E280" s="914"/>
      <c r="F280" s="914"/>
      <c r="G280" s="914"/>
      <c r="H280" s="914"/>
      <c r="I280" s="914"/>
      <c r="J280" s="914"/>
      <c r="K280" s="914"/>
      <c r="L280" s="914"/>
      <c r="M280" s="914"/>
      <c r="N280" s="914"/>
      <c r="O280" s="914"/>
      <c r="P280" s="914"/>
      <c r="Q280" s="885"/>
    </row>
    <row r="281" spans="2:17">
      <c r="B281" s="914"/>
      <c r="C281" s="914"/>
      <c r="D281" s="914"/>
      <c r="E281" s="914"/>
      <c r="F281" s="914"/>
      <c r="G281" s="914"/>
      <c r="H281" s="914"/>
      <c r="I281" s="914"/>
      <c r="J281" s="914"/>
      <c r="K281" s="914"/>
      <c r="L281" s="914"/>
      <c r="M281" s="914"/>
      <c r="N281" s="914"/>
      <c r="O281" s="914"/>
      <c r="P281" s="914"/>
      <c r="Q281" s="885"/>
    </row>
    <row r="282" spans="2:17">
      <c r="B282" s="914"/>
      <c r="C282" s="914"/>
      <c r="D282" s="914"/>
      <c r="E282" s="914"/>
      <c r="F282" s="914"/>
      <c r="G282" s="914"/>
      <c r="H282" s="914"/>
      <c r="I282" s="914"/>
      <c r="J282" s="914"/>
      <c r="K282" s="914"/>
      <c r="L282" s="914"/>
      <c r="M282" s="914"/>
      <c r="N282" s="914"/>
      <c r="O282" s="914"/>
      <c r="P282" s="914"/>
      <c r="Q282" s="885"/>
    </row>
    <row r="283" spans="2:17">
      <c r="B283" s="914"/>
      <c r="C283" s="914"/>
      <c r="D283" s="914"/>
      <c r="E283" s="914"/>
      <c r="F283" s="914"/>
      <c r="G283" s="914"/>
      <c r="H283" s="914"/>
      <c r="I283" s="914"/>
      <c r="J283" s="914"/>
      <c r="K283" s="914"/>
      <c r="L283" s="914"/>
      <c r="M283" s="914"/>
      <c r="N283" s="914"/>
      <c r="O283" s="914"/>
      <c r="P283" s="914"/>
      <c r="Q283" s="885"/>
    </row>
    <row r="284" spans="2:17">
      <c r="B284" s="914"/>
      <c r="C284" s="914"/>
      <c r="D284" s="914"/>
      <c r="E284" s="914"/>
      <c r="F284" s="914"/>
      <c r="G284" s="914"/>
      <c r="H284" s="914"/>
      <c r="I284" s="914"/>
      <c r="J284" s="914"/>
      <c r="K284" s="914"/>
      <c r="L284" s="914"/>
      <c r="M284" s="914"/>
      <c r="N284" s="914"/>
      <c r="O284" s="914"/>
      <c r="P284" s="914"/>
      <c r="Q284" s="885"/>
    </row>
    <row r="285" spans="2:17">
      <c r="B285" s="914"/>
      <c r="C285" s="914"/>
      <c r="D285" s="914"/>
      <c r="E285" s="914"/>
      <c r="F285" s="914"/>
      <c r="G285" s="914"/>
      <c r="H285" s="914"/>
      <c r="I285" s="914"/>
      <c r="J285" s="914"/>
      <c r="K285" s="914"/>
      <c r="L285" s="914"/>
      <c r="M285" s="914"/>
      <c r="N285" s="914"/>
      <c r="O285" s="914"/>
      <c r="P285" s="914"/>
      <c r="Q285" s="885"/>
    </row>
    <row r="286" spans="2:17">
      <c r="B286" s="914"/>
      <c r="C286" s="914"/>
      <c r="D286" s="914"/>
      <c r="E286" s="914"/>
      <c r="F286" s="914"/>
      <c r="G286" s="914"/>
      <c r="H286" s="914"/>
      <c r="I286" s="914"/>
      <c r="J286" s="914"/>
      <c r="K286" s="914"/>
      <c r="L286" s="914"/>
      <c r="M286" s="914"/>
      <c r="N286" s="914"/>
      <c r="O286" s="914"/>
      <c r="P286" s="914"/>
      <c r="Q286" s="885"/>
    </row>
    <row r="287" spans="2:17">
      <c r="B287" s="914"/>
      <c r="C287" s="914"/>
      <c r="D287" s="914"/>
      <c r="E287" s="914"/>
      <c r="F287" s="914"/>
      <c r="G287" s="914"/>
      <c r="H287" s="914"/>
      <c r="I287" s="914"/>
      <c r="J287" s="914"/>
      <c r="K287" s="914"/>
      <c r="L287" s="914"/>
      <c r="M287" s="914"/>
      <c r="N287" s="914"/>
      <c r="O287" s="914"/>
      <c r="P287" s="914"/>
      <c r="Q287" s="885"/>
    </row>
    <row r="288" spans="2:17">
      <c r="B288" s="914"/>
      <c r="C288" s="914"/>
      <c r="D288" s="914"/>
      <c r="E288" s="914"/>
      <c r="F288" s="914"/>
      <c r="G288" s="914"/>
      <c r="H288" s="914"/>
      <c r="I288" s="914"/>
      <c r="J288" s="914"/>
      <c r="K288" s="914"/>
      <c r="L288" s="914"/>
      <c r="M288" s="914"/>
      <c r="N288" s="914"/>
      <c r="O288" s="914"/>
      <c r="P288" s="914"/>
      <c r="Q288" s="885"/>
    </row>
    <row r="289" spans="2:17">
      <c r="B289" s="914"/>
      <c r="C289" s="914"/>
      <c r="D289" s="914"/>
      <c r="E289" s="914"/>
      <c r="F289" s="914"/>
      <c r="G289" s="914"/>
      <c r="H289" s="914"/>
      <c r="I289" s="914"/>
      <c r="J289" s="914"/>
      <c r="K289" s="914"/>
      <c r="L289" s="914"/>
      <c r="M289" s="914"/>
      <c r="N289" s="914"/>
      <c r="O289" s="914"/>
      <c r="P289" s="914"/>
      <c r="Q289" s="885"/>
    </row>
    <row r="290" spans="2:17">
      <c r="B290" s="914"/>
      <c r="C290" s="914"/>
      <c r="D290" s="914"/>
      <c r="E290" s="914"/>
      <c r="F290" s="914"/>
      <c r="G290" s="914"/>
      <c r="H290" s="914"/>
      <c r="I290" s="914"/>
      <c r="J290" s="914"/>
      <c r="K290" s="914"/>
      <c r="L290" s="914"/>
      <c r="M290" s="914"/>
      <c r="N290" s="914"/>
      <c r="O290" s="914"/>
      <c r="P290" s="914"/>
      <c r="Q290" s="885"/>
    </row>
    <row r="291" spans="2:17">
      <c r="B291" s="914"/>
      <c r="C291" s="914"/>
      <c r="D291" s="914"/>
      <c r="E291" s="914"/>
      <c r="F291" s="914"/>
      <c r="G291" s="914"/>
      <c r="H291" s="914"/>
      <c r="I291" s="914"/>
      <c r="J291" s="914"/>
      <c r="K291" s="914"/>
      <c r="L291" s="914"/>
      <c r="M291" s="914"/>
      <c r="N291" s="914"/>
      <c r="O291" s="914"/>
      <c r="P291" s="914"/>
      <c r="Q291" s="885"/>
    </row>
    <row r="292" spans="2:17">
      <c r="B292" s="914"/>
      <c r="C292" s="914"/>
      <c r="D292" s="914"/>
      <c r="E292" s="914"/>
      <c r="F292" s="914"/>
      <c r="G292" s="914"/>
      <c r="H292" s="914"/>
      <c r="I292" s="914"/>
      <c r="J292" s="914"/>
      <c r="K292" s="914"/>
      <c r="L292" s="914"/>
      <c r="M292" s="914"/>
      <c r="N292" s="914"/>
      <c r="O292" s="914"/>
      <c r="P292" s="914"/>
      <c r="Q292" s="885"/>
    </row>
    <row r="293" spans="2:17">
      <c r="B293" s="914"/>
      <c r="C293" s="914"/>
      <c r="D293" s="914"/>
      <c r="E293" s="914"/>
      <c r="F293" s="914"/>
      <c r="G293" s="914"/>
      <c r="H293" s="914"/>
      <c r="I293" s="914"/>
      <c r="J293" s="914"/>
      <c r="K293" s="914"/>
      <c r="L293" s="914"/>
      <c r="M293" s="914"/>
      <c r="N293" s="914"/>
      <c r="O293" s="914"/>
      <c r="P293" s="914"/>
      <c r="Q293" s="885"/>
    </row>
    <row r="294" spans="2:17">
      <c r="B294" s="914"/>
      <c r="C294" s="914"/>
      <c r="D294" s="914"/>
      <c r="E294" s="914"/>
      <c r="F294" s="914"/>
      <c r="G294" s="914"/>
      <c r="H294" s="914"/>
      <c r="I294" s="914"/>
      <c r="J294" s="914"/>
      <c r="K294" s="914"/>
      <c r="L294" s="914"/>
      <c r="M294" s="914"/>
      <c r="N294" s="914"/>
      <c r="O294" s="914"/>
      <c r="P294" s="914"/>
      <c r="Q294" s="885"/>
    </row>
    <row r="295" spans="2:17">
      <c r="B295" s="914"/>
      <c r="C295" s="914"/>
      <c r="D295" s="914"/>
      <c r="E295" s="914"/>
      <c r="F295" s="914"/>
      <c r="G295" s="914"/>
      <c r="H295" s="914"/>
      <c r="I295" s="914"/>
      <c r="J295" s="914"/>
      <c r="K295" s="914"/>
      <c r="L295" s="914"/>
      <c r="M295" s="914"/>
      <c r="N295" s="914"/>
      <c r="O295" s="914"/>
      <c r="P295" s="914"/>
      <c r="Q295" s="885"/>
    </row>
    <row r="296" spans="2:17">
      <c r="B296" s="914"/>
      <c r="C296" s="914"/>
      <c r="D296" s="914"/>
      <c r="E296" s="914"/>
      <c r="F296" s="914"/>
      <c r="G296" s="914"/>
      <c r="H296" s="914"/>
      <c r="I296" s="914"/>
      <c r="J296" s="914"/>
      <c r="K296" s="914"/>
      <c r="L296" s="914"/>
      <c r="M296" s="914"/>
      <c r="N296" s="914"/>
      <c r="O296" s="914"/>
      <c r="P296" s="914"/>
      <c r="Q296" s="885"/>
    </row>
    <row r="297" spans="2:17">
      <c r="B297" s="914"/>
      <c r="C297" s="914"/>
      <c r="D297" s="914"/>
      <c r="E297" s="914"/>
      <c r="F297" s="914"/>
      <c r="G297" s="914"/>
      <c r="H297" s="914"/>
      <c r="I297" s="914"/>
      <c r="J297" s="914"/>
      <c r="K297" s="914"/>
      <c r="L297" s="914"/>
      <c r="M297" s="914"/>
      <c r="N297" s="914"/>
      <c r="O297" s="914"/>
      <c r="P297" s="914"/>
      <c r="Q297" s="885"/>
    </row>
    <row r="298" spans="2:17">
      <c r="B298" s="914"/>
      <c r="C298" s="914"/>
      <c r="D298" s="914"/>
      <c r="E298" s="914"/>
      <c r="F298" s="914"/>
      <c r="G298" s="914"/>
      <c r="H298" s="914"/>
      <c r="I298" s="914"/>
      <c r="J298" s="914"/>
      <c r="K298" s="914"/>
      <c r="L298" s="914"/>
      <c r="M298" s="914"/>
      <c r="N298" s="914"/>
      <c r="O298" s="914"/>
      <c r="P298" s="914"/>
      <c r="Q298" s="885"/>
    </row>
    <row r="299" spans="2:17">
      <c r="B299" s="914"/>
      <c r="C299" s="914"/>
      <c r="D299" s="914"/>
      <c r="E299" s="914"/>
      <c r="F299" s="914"/>
      <c r="G299" s="914"/>
      <c r="H299" s="914"/>
      <c r="I299" s="914"/>
      <c r="J299" s="914"/>
      <c r="K299" s="914"/>
      <c r="L299" s="914"/>
      <c r="M299" s="914"/>
      <c r="N299" s="914"/>
      <c r="O299" s="914"/>
      <c r="P299" s="914"/>
      <c r="Q299" s="885"/>
    </row>
    <row r="300" spans="2:17">
      <c r="B300" s="914"/>
      <c r="C300" s="914"/>
      <c r="D300" s="914"/>
      <c r="E300" s="914"/>
      <c r="F300" s="914"/>
      <c r="G300" s="914"/>
      <c r="H300" s="914"/>
      <c r="I300" s="914"/>
      <c r="J300" s="914"/>
      <c r="K300" s="914"/>
      <c r="L300" s="914"/>
      <c r="M300" s="914"/>
      <c r="N300" s="914"/>
      <c r="O300" s="914"/>
      <c r="P300" s="914"/>
      <c r="Q300" s="885"/>
    </row>
    <row r="301" spans="2:17">
      <c r="B301" s="914"/>
      <c r="C301" s="914"/>
      <c r="D301" s="914"/>
      <c r="E301" s="914"/>
      <c r="F301" s="914"/>
      <c r="G301" s="914"/>
      <c r="H301" s="914"/>
      <c r="I301" s="914"/>
      <c r="J301" s="914"/>
      <c r="K301" s="914"/>
      <c r="L301" s="914"/>
      <c r="M301" s="914"/>
      <c r="N301" s="914"/>
      <c r="O301" s="914"/>
      <c r="P301" s="914"/>
      <c r="Q301" s="885"/>
    </row>
    <row r="302" spans="2:17">
      <c r="B302" s="914"/>
      <c r="C302" s="914"/>
      <c r="D302" s="914"/>
      <c r="E302" s="914"/>
      <c r="F302" s="914"/>
      <c r="G302" s="914"/>
      <c r="H302" s="914"/>
      <c r="I302" s="914"/>
      <c r="J302" s="914"/>
      <c r="K302" s="914"/>
      <c r="L302" s="914"/>
      <c r="M302" s="914"/>
      <c r="N302" s="914"/>
      <c r="O302" s="914"/>
      <c r="P302" s="914"/>
      <c r="Q302" s="885"/>
    </row>
    <row r="303" spans="2:17">
      <c r="B303" s="914"/>
      <c r="C303" s="914"/>
      <c r="D303" s="914"/>
      <c r="E303" s="914"/>
      <c r="F303" s="914"/>
      <c r="G303" s="914"/>
      <c r="H303" s="914"/>
      <c r="I303" s="914"/>
      <c r="J303" s="914"/>
      <c r="K303" s="914"/>
      <c r="L303" s="914"/>
      <c r="M303" s="914"/>
      <c r="N303" s="914"/>
      <c r="O303" s="914"/>
      <c r="P303" s="914"/>
      <c r="Q303" s="885"/>
    </row>
    <row r="304" spans="2:17">
      <c r="B304" s="914"/>
      <c r="C304" s="914"/>
      <c r="D304" s="914"/>
      <c r="E304" s="914"/>
      <c r="F304" s="914"/>
      <c r="G304" s="914"/>
      <c r="H304" s="914"/>
      <c r="I304" s="914"/>
      <c r="J304" s="914"/>
      <c r="K304" s="914"/>
      <c r="L304" s="914"/>
      <c r="M304" s="914"/>
      <c r="N304" s="914"/>
      <c r="O304" s="914"/>
      <c r="P304" s="914"/>
      <c r="Q304" s="885"/>
    </row>
    <row r="305" spans="2:17">
      <c r="B305" s="914"/>
      <c r="C305" s="914"/>
      <c r="D305" s="914"/>
      <c r="E305" s="914"/>
      <c r="F305" s="914"/>
      <c r="G305" s="914"/>
      <c r="H305" s="914"/>
      <c r="I305" s="914"/>
      <c r="J305" s="914"/>
      <c r="K305" s="914"/>
      <c r="L305" s="914"/>
      <c r="M305" s="914"/>
      <c r="N305" s="914"/>
      <c r="O305" s="914"/>
      <c r="P305" s="914"/>
      <c r="Q305" s="885"/>
    </row>
    <row r="306" spans="2:17">
      <c r="B306" s="914"/>
      <c r="C306" s="914"/>
      <c r="D306" s="914"/>
      <c r="E306" s="914"/>
      <c r="F306" s="914"/>
      <c r="G306" s="914"/>
      <c r="H306" s="914"/>
      <c r="I306" s="914"/>
      <c r="J306" s="914"/>
      <c r="K306" s="914"/>
      <c r="L306" s="914"/>
      <c r="M306" s="914"/>
      <c r="N306" s="914"/>
      <c r="O306" s="914"/>
      <c r="P306" s="914"/>
      <c r="Q306" s="885"/>
    </row>
    <row r="307" spans="2:17">
      <c r="B307" s="914"/>
      <c r="C307" s="914"/>
      <c r="D307" s="914"/>
      <c r="E307" s="914"/>
      <c r="F307" s="914"/>
      <c r="G307" s="914"/>
      <c r="H307" s="914"/>
      <c r="I307" s="914"/>
      <c r="J307" s="914"/>
      <c r="K307" s="914"/>
      <c r="L307" s="914"/>
      <c r="M307" s="914"/>
      <c r="N307" s="914"/>
      <c r="O307" s="914"/>
      <c r="P307" s="914"/>
      <c r="Q307" s="885"/>
    </row>
    <row r="308" spans="2:17">
      <c r="B308" s="914"/>
      <c r="C308" s="914"/>
      <c r="D308" s="914"/>
      <c r="E308" s="914"/>
      <c r="F308" s="914"/>
      <c r="G308" s="914"/>
      <c r="H308" s="914"/>
      <c r="I308" s="914"/>
      <c r="J308" s="914"/>
      <c r="K308" s="914"/>
      <c r="L308" s="914"/>
      <c r="M308" s="914"/>
      <c r="N308" s="914"/>
      <c r="O308" s="914"/>
      <c r="P308" s="914"/>
      <c r="Q308" s="885"/>
    </row>
    <row r="309" spans="2:17">
      <c r="B309" s="914"/>
      <c r="C309" s="914"/>
      <c r="D309" s="914"/>
      <c r="E309" s="914"/>
      <c r="F309" s="914"/>
      <c r="G309" s="914"/>
      <c r="H309" s="914"/>
      <c r="I309" s="914"/>
      <c r="J309" s="914"/>
      <c r="K309" s="914"/>
      <c r="L309" s="914"/>
      <c r="M309" s="914"/>
      <c r="N309" s="914"/>
      <c r="O309" s="914"/>
      <c r="P309" s="914"/>
      <c r="Q309" s="885"/>
    </row>
    <row r="310" spans="2:17">
      <c r="B310" s="914"/>
      <c r="C310" s="914"/>
      <c r="D310" s="914"/>
      <c r="E310" s="914"/>
      <c r="F310" s="914"/>
      <c r="G310" s="914"/>
      <c r="H310" s="914"/>
      <c r="I310" s="914"/>
      <c r="J310" s="914"/>
      <c r="K310" s="914"/>
      <c r="L310" s="914"/>
      <c r="M310" s="914"/>
      <c r="N310" s="914"/>
      <c r="O310" s="914"/>
      <c r="P310" s="914"/>
      <c r="Q310" s="885"/>
    </row>
    <row r="311" spans="2:17">
      <c r="B311" s="914"/>
      <c r="C311" s="914"/>
      <c r="D311" s="914"/>
      <c r="E311" s="914"/>
      <c r="F311" s="914"/>
      <c r="G311" s="914"/>
      <c r="H311" s="914"/>
      <c r="I311" s="914"/>
      <c r="J311" s="914"/>
      <c r="K311" s="914"/>
      <c r="L311" s="914"/>
      <c r="M311" s="914"/>
      <c r="N311" s="914"/>
      <c r="O311" s="914"/>
      <c r="P311" s="914"/>
      <c r="Q311" s="885"/>
    </row>
    <row r="312" spans="2:17">
      <c r="B312" s="914"/>
      <c r="C312" s="914"/>
      <c r="D312" s="914"/>
      <c r="E312" s="914"/>
      <c r="F312" s="914"/>
      <c r="G312" s="914"/>
      <c r="H312" s="914"/>
      <c r="I312" s="914"/>
      <c r="J312" s="914"/>
      <c r="K312" s="914"/>
      <c r="L312" s="914"/>
      <c r="M312" s="914"/>
      <c r="N312" s="914"/>
      <c r="O312" s="914"/>
      <c r="P312" s="914"/>
      <c r="Q312" s="885"/>
    </row>
    <row r="313" spans="2:17">
      <c r="B313" s="914"/>
      <c r="C313" s="914"/>
      <c r="D313" s="914"/>
      <c r="E313" s="914"/>
      <c r="F313" s="914"/>
      <c r="G313" s="914"/>
      <c r="H313" s="914"/>
      <c r="I313" s="914"/>
      <c r="J313" s="914"/>
      <c r="K313" s="914"/>
      <c r="L313" s="914"/>
      <c r="M313" s="914"/>
      <c r="N313" s="914"/>
      <c r="O313" s="914"/>
      <c r="P313" s="914"/>
      <c r="Q313" s="885"/>
    </row>
    <row r="314" spans="2:17">
      <c r="B314" s="914"/>
      <c r="C314" s="914"/>
      <c r="D314" s="914"/>
      <c r="E314" s="914"/>
      <c r="F314" s="914"/>
      <c r="G314" s="914"/>
      <c r="H314" s="914"/>
      <c r="I314" s="914"/>
      <c r="J314" s="914"/>
      <c r="K314" s="914"/>
      <c r="L314" s="914"/>
      <c r="M314" s="914"/>
      <c r="N314" s="914"/>
      <c r="O314" s="914"/>
      <c r="P314" s="914"/>
      <c r="Q314" s="885"/>
    </row>
    <row r="315" spans="2:17">
      <c r="B315" s="914"/>
      <c r="C315" s="914"/>
      <c r="D315" s="914"/>
      <c r="E315" s="914"/>
      <c r="F315" s="914"/>
      <c r="G315" s="914"/>
      <c r="H315" s="914"/>
      <c r="I315" s="914"/>
      <c r="J315" s="914"/>
      <c r="K315" s="914"/>
      <c r="L315" s="914"/>
      <c r="M315" s="914"/>
      <c r="N315" s="914"/>
      <c r="O315" s="914"/>
      <c r="P315" s="914"/>
      <c r="Q315" s="885"/>
    </row>
    <row r="316" spans="2:17">
      <c r="B316" s="914"/>
      <c r="C316" s="914"/>
      <c r="D316" s="914"/>
      <c r="E316" s="914"/>
      <c r="F316" s="914"/>
      <c r="G316" s="914"/>
      <c r="H316" s="914"/>
      <c r="I316" s="914"/>
      <c r="J316" s="914"/>
      <c r="K316" s="914"/>
      <c r="L316" s="914"/>
      <c r="M316" s="914"/>
      <c r="N316" s="914"/>
      <c r="O316" s="914"/>
      <c r="P316" s="914"/>
      <c r="Q316" s="885"/>
    </row>
    <row r="317" spans="2:17">
      <c r="B317" s="914"/>
      <c r="C317" s="914"/>
      <c r="D317" s="914"/>
      <c r="E317" s="914"/>
      <c r="F317" s="914"/>
      <c r="G317" s="914"/>
      <c r="H317" s="914"/>
      <c r="I317" s="914"/>
      <c r="J317" s="914"/>
      <c r="K317" s="914"/>
      <c r="L317" s="914"/>
      <c r="M317" s="914"/>
      <c r="N317" s="914"/>
      <c r="O317" s="914"/>
      <c r="P317" s="914"/>
      <c r="Q317" s="885"/>
    </row>
    <row r="318" spans="2:17">
      <c r="B318" s="914"/>
      <c r="C318" s="914"/>
      <c r="D318" s="914"/>
      <c r="E318" s="914"/>
      <c r="F318" s="914"/>
      <c r="G318" s="914"/>
      <c r="H318" s="914"/>
      <c r="I318" s="914"/>
      <c r="J318" s="914"/>
      <c r="K318" s="914"/>
      <c r="L318" s="914"/>
      <c r="M318" s="914"/>
      <c r="N318" s="914"/>
      <c r="O318" s="914"/>
      <c r="P318" s="914"/>
      <c r="Q318" s="885"/>
    </row>
    <row r="319" spans="2:17">
      <c r="B319" s="914"/>
      <c r="C319" s="914"/>
      <c r="D319" s="914"/>
      <c r="E319" s="914"/>
      <c r="F319" s="914"/>
      <c r="G319" s="914"/>
      <c r="H319" s="914"/>
      <c r="I319" s="914"/>
      <c r="J319" s="914"/>
      <c r="K319" s="914"/>
      <c r="L319" s="914"/>
      <c r="M319" s="914"/>
      <c r="N319" s="914"/>
      <c r="O319" s="914"/>
      <c r="P319" s="914"/>
      <c r="Q319" s="885"/>
    </row>
    <row r="320" spans="2:17">
      <c r="B320" s="914"/>
      <c r="C320" s="914"/>
      <c r="D320" s="914"/>
      <c r="E320" s="914"/>
      <c r="F320" s="914"/>
      <c r="G320" s="914"/>
      <c r="H320" s="914"/>
      <c r="I320" s="914"/>
      <c r="J320" s="914"/>
      <c r="K320" s="914"/>
      <c r="L320" s="914"/>
      <c r="M320" s="914"/>
      <c r="N320" s="914"/>
      <c r="O320" s="914"/>
      <c r="P320" s="914"/>
      <c r="Q320" s="885"/>
    </row>
    <row r="321" spans="2:17">
      <c r="B321" s="914"/>
      <c r="C321" s="914"/>
      <c r="D321" s="914"/>
      <c r="E321" s="914"/>
      <c r="F321" s="914"/>
      <c r="G321" s="914"/>
      <c r="H321" s="914"/>
      <c r="I321" s="914"/>
      <c r="J321" s="914"/>
      <c r="K321" s="914"/>
      <c r="L321" s="914"/>
      <c r="M321" s="914"/>
      <c r="N321" s="914"/>
      <c r="O321" s="914"/>
      <c r="P321" s="914"/>
      <c r="Q321" s="885"/>
    </row>
    <row r="322" spans="2:17">
      <c r="B322" s="914"/>
      <c r="C322" s="914"/>
      <c r="D322" s="914"/>
      <c r="E322" s="914"/>
      <c r="F322" s="914"/>
      <c r="G322" s="914"/>
      <c r="H322" s="914"/>
      <c r="I322" s="914"/>
      <c r="J322" s="914"/>
      <c r="K322" s="914"/>
      <c r="L322" s="914"/>
      <c r="M322" s="914"/>
      <c r="N322" s="914"/>
      <c r="O322" s="914"/>
      <c r="P322" s="914"/>
      <c r="Q322" s="885"/>
    </row>
    <row r="323" spans="2:17">
      <c r="B323" s="914"/>
      <c r="C323" s="914"/>
      <c r="D323" s="914"/>
      <c r="E323" s="914"/>
      <c r="F323" s="914"/>
      <c r="G323" s="914"/>
      <c r="H323" s="914"/>
      <c r="I323" s="914"/>
      <c r="J323" s="914"/>
      <c r="K323" s="914"/>
      <c r="L323" s="914"/>
      <c r="M323" s="914"/>
      <c r="N323" s="914"/>
      <c r="O323" s="914"/>
      <c r="P323" s="914"/>
      <c r="Q323" s="885"/>
    </row>
    <row r="324" spans="2:17">
      <c r="B324" s="914"/>
      <c r="C324" s="914"/>
      <c r="D324" s="914"/>
      <c r="E324" s="914"/>
      <c r="F324" s="914"/>
      <c r="G324" s="914"/>
      <c r="H324" s="914"/>
      <c r="I324" s="914"/>
      <c r="J324" s="914"/>
      <c r="K324" s="914"/>
      <c r="L324" s="914"/>
      <c r="M324" s="914"/>
      <c r="N324" s="914"/>
      <c r="O324" s="914"/>
      <c r="P324" s="914"/>
      <c r="Q324" s="885"/>
    </row>
    <row r="325" spans="2:17">
      <c r="B325" s="914"/>
      <c r="C325" s="914"/>
      <c r="D325" s="914"/>
      <c r="E325" s="914"/>
      <c r="F325" s="914"/>
      <c r="G325" s="914"/>
      <c r="H325" s="914"/>
      <c r="I325" s="914"/>
      <c r="J325" s="914"/>
      <c r="K325" s="914"/>
      <c r="L325" s="914"/>
      <c r="M325" s="914"/>
      <c r="N325" s="914"/>
      <c r="O325" s="914"/>
      <c r="P325" s="914"/>
      <c r="Q325" s="885"/>
    </row>
    <row r="326" spans="2:17">
      <c r="B326" s="914"/>
      <c r="C326" s="914"/>
      <c r="D326" s="914"/>
      <c r="E326" s="914"/>
      <c r="F326" s="914"/>
      <c r="G326" s="914"/>
      <c r="H326" s="914"/>
      <c r="I326" s="914"/>
      <c r="J326" s="914"/>
      <c r="K326" s="914"/>
      <c r="L326" s="914"/>
      <c r="M326" s="914"/>
      <c r="N326" s="914"/>
      <c r="O326" s="914"/>
      <c r="P326" s="914"/>
      <c r="Q326" s="885"/>
    </row>
    <row r="327" spans="2:17">
      <c r="B327" s="914"/>
      <c r="C327" s="914"/>
      <c r="D327" s="914"/>
      <c r="E327" s="914"/>
      <c r="F327" s="914"/>
      <c r="G327" s="914"/>
      <c r="H327" s="914"/>
      <c r="I327" s="914"/>
      <c r="J327" s="914"/>
      <c r="K327" s="914"/>
      <c r="L327" s="914"/>
      <c r="M327" s="914"/>
      <c r="N327" s="914"/>
      <c r="O327" s="914"/>
      <c r="P327" s="914"/>
      <c r="Q327" s="885"/>
    </row>
    <row r="328" spans="2:17">
      <c r="B328" s="914"/>
      <c r="C328" s="914"/>
      <c r="D328" s="914"/>
      <c r="E328" s="914"/>
      <c r="F328" s="914"/>
      <c r="G328" s="914"/>
      <c r="H328" s="914"/>
      <c r="I328" s="914"/>
      <c r="J328" s="914"/>
      <c r="K328" s="914"/>
      <c r="L328" s="914"/>
      <c r="M328" s="914"/>
      <c r="N328" s="914"/>
      <c r="O328" s="914"/>
      <c r="P328" s="914"/>
      <c r="Q328" s="885"/>
    </row>
    <row r="329" spans="2:17">
      <c r="B329" s="914"/>
      <c r="C329" s="914"/>
      <c r="D329" s="914"/>
      <c r="E329" s="914"/>
      <c r="F329" s="914"/>
      <c r="G329" s="914"/>
      <c r="H329" s="914"/>
      <c r="I329" s="914"/>
      <c r="J329" s="914"/>
      <c r="K329" s="914"/>
      <c r="L329" s="914"/>
      <c r="M329" s="914"/>
      <c r="N329" s="914"/>
      <c r="O329" s="914"/>
      <c r="P329" s="914"/>
      <c r="Q329" s="885"/>
    </row>
    <row r="330" spans="2:17">
      <c r="B330" s="914"/>
      <c r="C330" s="914"/>
      <c r="D330" s="914"/>
      <c r="E330" s="914"/>
      <c r="F330" s="914"/>
      <c r="G330" s="914"/>
      <c r="H330" s="914"/>
      <c r="I330" s="914"/>
      <c r="J330" s="914"/>
      <c r="K330" s="914"/>
      <c r="L330" s="914"/>
      <c r="M330" s="914"/>
      <c r="N330" s="914"/>
      <c r="O330" s="914"/>
      <c r="P330" s="914"/>
      <c r="Q330" s="885"/>
    </row>
    <row r="331" spans="2:17">
      <c r="B331" s="914"/>
      <c r="C331" s="914"/>
      <c r="D331" s="914"/>
      <c r="E331" s="914"/>
      <c r="F331" s="914"/>
      <c r="G331" s="914"/>
      <c r="H331" s="914"/>
      <c r="I331" s="914"/>
      <c r="J331" s="914"/>
      <c r="K331" s="914"/>
      <c r="L331" s="914"/>
      <c r="M331" s="914"/>
      <c r="N331" s="914"/>
      <c r="O331" s="914"/>
      <c r="P331" s="914"/>
      <c r="Q331" s="885"/>
    </row>
    <row r="332" spans="2:17">
      <c r="B332" s="914"/>
      <c r="C332" s="914"/>
      <c r="D332" s="914"/>
      <c r="E332" s="914"/>
      <c r="F332" s="914"/>
      <c r="G332" s="914"/>
      <c r="H332" s="914"/>
      <c r="I332" s="914"/>
      <c r="J332" s="914"/>
      <c r="K332" s="914"/>
      <c r="L332" s="914"/>
      <c r="M332" s="914"/>
      <c r="N332" s="914"/>
      <c r="O332" s="914"/>
      <c r="P332" s="914"/>
      <c r="Q332" s="885"/>
    </row>
    <row r="333" spans="2:17">
      <c r="B333" s="914"/>
      <c r="C333" s="914"/>
      <c r="D333" s="914"/>
      <c r="E333" s="914"/>
      <c r="F333" s="914"/>
      <c r="G333" s="914"/>
      <c r="H333" s="914"/>
      <c r="I333" s="914"/>
      <c r="J333" s="914"/>
      <c r="K333" s="914"/>
      <c r="L333" s="914"/>
      <c r="M333" s="914"/>
      <c r="N333" s="914"/>
      <c r="O333" s="914"/>
      <c r="P333" s="914"/>
      <c r="Q333" s="885"/>
    </row>
    <row r="334" spans="2:17">
      <c r="B334" s="914"/>
      <c r="C334" s="914"/>
      <c r="D334" s="914"/>
      <c r="E334" s="914"/>
      <c r="F334" s="914"/>
      <c r="G334" s="914"/>
      <c r="H334" s="914"/>
      <c r="I334" s="914"/>
      <c r="J334" s="914"/>
      <c r="K334" s="914"/>
      <c r="L334" s="914"/>
      <c r="M334" s="914"/>
      <c r="N334" s="914"/>
      <c r="O334" s="914"/>
      <c r="P334" s="914"/>
      <c r="Q334" s="885"/>
    </row>
    <row r="335" spans="2:17">
      <c r="B335" s="914"/>
      <c r="C335" s="914"/>
      <c r="D335" s="914"/>
      <c r="E335" s="914"/>
      <c r="F335" s="914"/>
      <c r="G335" s="914"/>
      <c r="H335" s="914"/>
      <c r="I335" s="914"/>
      <c r="J335" s="914"/>
      <c r="K335" s="914"/>
      <c r="L335" s="914"/>
      <c r="M335" s="914"/>
      <c r="N335" s="914"/>
      <c r="O335" s="914"/>
      <c r="P335" s="914"/>
      <c r="Q335" s="885"/>
    </row>
    <row r="336" spans="2:17">
      <c r="B336" s="914"/>
      <c r="C336" s="914"/>
      <c r="D336" s="914"/>
      <c r="E336" s="914"/>
      <c r="F336" s="914"/>
      <c r="G336" s="914"/>
      <c r="H336" s="914"/>
      <c r="I336" s="914"/>
      <c r="J336" s="914"/>
      <c r="K336" s="914"/>
      <c r="L336" s="914"/>
      <c r="M336" s="914"/>
      <c r="N336" s="914"/>
      <c r="O336" s="914"/>
      <c r="P336" s="914"/>
      <c r="Q336" s="885"/>
    </row>
    <row r="337" spans="2:17">
      <c r="B337" s="914"/>
      <c r="C337" s="914"/>
      <c r="D337" s="914"/>
      <c r="E337" s="914"/>
      <c r="F337" s="914"/>
      <c r="G337" s="914"/>
      <c r="H337" s="914"/>
      <c r="I337" s="914"/>
      <c r="J337" s="914"/>
      <c r="K337" s="914"/>
      <c r="L337" s="914"/>
      <c r="M337" s="914"/>
      <c r="N337" s="914"/>
      <c r="O337" s="914"/>
      <c r="P337" s="914"/>
      <c r="Q337" s="885"/>
    </row>
    <row r="338" spans="2:17">
      <c r="B338" s="914"/>
      <c r="C338" s="914"/>
      <c r="D338" s="914"/>
      <c r="E338" s="914"/>
      <c r="F338" s="914"/>
      <c r="G338" s="914"/>
      <c r="H338" s="914"/>
      <c r="I338" s="914"/>
      <c r="J338" s="914"/>
      <c r="K338" s="914"/>
      <c r="L338" s="914"/>
      <c r="M338" s="914"/>
      <c r="N338" s="914"/>
      <c r="O338" s="914"/>
      <c r="P338" s="914"/>
      <c r="Q338" s="885"/>
    </row>
    <row r="339" spans="2:17">
      <c r="B339" s="914"/>
      <c r="C339" s="914"/>
      <c r="D339" s="914"/>
      <c r="E339" s="914"/>
      <c r="F339" s="914"/>
      <c r="G339" s="914"/>
      <c r="H339" s="914"/>
      <c r="I339" s="914"/>
      <c r="J339" s="914"/>
      <c r="K339" s="914"/>
      <c r="L339" s="914"/>
      <c r="M339" s="914"/>
      <c r="N339" s="914"/>
      <c r="O339" s="914"/>
      <c r="P339" s="914"/>
      <c r="Q339" s="885"/>
    </row>
    <row r="340" spans="2:17">
      <c r="B340" s="914"/>
      <c r="C340" s="914"/>
      <c r="D340" s="914"/>
      <c r="E340" s="914"/>
      <c r="F340" s="914"/>
      <c r="G340" s="914"/>
      <c r="H340" s="914"/>
      <c r="I340" s="914"/>
      <c r="J340" s="914"/>
      <c r="K340" s="914"/>
      <c r="L340" s="914"/>
      <c r="M340" s="914"/>
      <c r="N340" s="914"/>
      <c r="O340" s="914"/>
      <c r="P340" s="914"/>
      <c r="Q340" s="885"/>
    </row>
    <row r="341" spans="2:17">
      <c r="B341" s="914"/>
      <c r="C341" s="914"/>
      <c r="D341" s="914"/>
      <c r="E341" s="914"/>
      <c r="F341" s="914"/>
      <c r="G341" s="914"/>
      <c r="H341" s="914"/>
      <c r="I341" s="914"/>
      <c r="J341" s="914"/>
      <c r="K341" s="914"/>
      <c r="L341" s="914"/>
      <c r="M341" s="914"/>
      <c r="N341" s="914"/>
      <c r="O341" s="914"/>
      <c r="P341" s="914"/>
      <c r="Q341" s="885"/>
    </row>
    <row r="342" spans="2:17">
      <c r="Q342" s="878"/>
    </row>
    <row r="343" spans="2:17">
      <c r="Q343" s="878"/>
    </row>
    <row r="344" spans="2:17">
      <c r="Q344" s="878"/>
    </row>
    <row r="345" spans="2:17">
      <c r="Q345" s="878"/>
    </row>
    <row r="346" spans="2:17">
      <c r="Q346" s="878"/>
    </row>
    <row r="347" spans="2:17">
      <c r="Q347" s="878"/>
    </row>
    <row r="348" spans="2:17">
      <c r="Q348" s="878"/>
    </row>
    <row r="349" spans="2:17">
      <c r="Q349" s="878"/>
    </row>
    <row r="350" spans="2:17">
      <c r="Q350" s="878"/>
    </row>
    <row r="351" spans="2:17">
      <c r="Q351" s="878"/>
    </row>
    <row r="352" spans="2:17">
      <c r="Q352" s="878"/>
    </row>
    <row r="353" spans="17:17">
      <c r="Q353" s="878"/>
    </row>
    <row r="354" spans="17:17">
      <c r="Q354" s="878"/>
    </row>
    <row r="355" spans="17:17">
      <c r="Q355" s="878"/>
    </row>
    <row r="356" spans="17:17">
      <c r="Q356" s="878"/>
    </row>
    <row r="357" spans="17:17">
      <c r="Q357" s="878"/>
    </row>
    <row r="358" spans="17:17">
      <c r="Q358" s="878"/>
    </row>
    <row r="359" spans="17:17">
      <c r="Q359" s="878"/>
    </row>
    <row r="360" spans="17:17">
      <c r="Q360" s="878"/>
    </row>
    <row r="361" spans="17:17">
      <c r="Q361" s="878"/>
    </row>
    <row r="362" spans="17:17">
      <c r="Q362" s="878"/>
    </row>
    <row r="363" spans="17:17">
      <c r="Q363" s="878"/>
    </row>
    <row r="364" spans="17:17">
      <c r="Q364" s="878"/>
    </row>
    <row r="365" spans="17:17">
      <c r="Q365" s="878"/>
    </row>
    <row r="366" spans="17:17">
      <c r="Q366" s="878"/>
    </row>
    <row r="367" spans="17:17">
      <c r="Q367" s="878"/>
    </row>
    <row r="368" spans="17:17">
      <c r="Q368" s="878"/>
    </row>
    <row r="369" spans="17:17">
      <c r="Q369" s="878"/>
    </row>
    <row r="370" spans="17:17">
      <c r="Q370" s="878"/>
    </row>
    <row r="371" spans="17:17">
      <c r="Q371" s="878"/>
    </row>
    <row r="372" spans="17:17">
      <c r="Q372" s="878"/>
    </row>
    <row r="373" spans="17:17">
      <c r="Q373" s="878"/>
    </row>
    <row r="374" spans="17:17">
      <c r="Q374" s="878"/>
    </row>
    <row r="375" spans="17:17">
      <c r="Q375" s="878"/>
    </row>
    <row r="376" spans="17:17">
      <c r="Q376" s="878"/>
    </row>
    <row r="377" spans="17:17">
      <c r="Q377" s="878"/>
    </row>
    <row r="378" spans="17:17">
      <c r="Q378" s="878"/>
    </row>
    <row r="379" spans="17:17">
      <c r="Q379" s="878"/>
    </row>
    <row r="380" spans="17:17">
      <c r="Q380" s="878"/>
    </row>
    <row r="381" spans="17:17">
      <c r="Q381" s="878"/>
    </row>
    <row r="382" spans="17:17">
      <c r="Q382" s="878"/>
    </row>
    <row r="383" spans="17:17">
      <c r="Q383" s="878"/>
    </row>
    <row r="384" spans="17:17">
      <c r="Q384" s="878"/>
    </row>
    <row r="385" spans="17:17">
      <c r="Q385" s="878"/>
    </row>
    <row r="386" spans="17:17">
      <c r="Q386" s="878"/>
    </row>
    <row r="387" spans="17:17">
      <c r="Q387" s="878"/>
    </row>
    <row r="388" spans="17:17">
      <c r="Q388" s="878"/>
    </row>
    <row r="389" spans="17:17">
      <c r="Q389" s="878"/>
    </row>
    <row r="390" spans="17:17">
      <c r="Q390" s="878"/>
    </row>
    <row r="391" spans="17:17">
      <c r="Q391" s="878"/>
    </row>
    <row r="392" spans="17:17">
      <c r="Q392" s="878"/>
    </row>
    <row r="393" spans="17:17">
      <c r="Q393" s="878"/>
    </row>
    <row r="394" spans="17:17">
      <c r="Q394" s="878"/>
    </row>
    <row r="395" spans="17:17">
      <c r="Q395" s="878"/>
    </row>
    <row r="396" spans="17:17">
      <c r="Q396" s="878"/>
    </row>
    <row r="397" spans="17:17">
      <c r="Q397" s="878"/>
    </row>
    <row r="398" spans="17:17">
      <c r="Q398" s="878"/>
    </row>
    <row r="399" spans="17:17">
      <c r="Q399" s="878"/>
    </row>
    <row r="400" spans="17:17">
      <c r="Q400" s="878"/>
    </row>
    <row r="401" spans="17:17">
      <c r="Q401" s="878"/>
    </row>
    <row r="402" spans="17:17">
      <c r="Q402" s="878"/>
    </row>
    <row r="403" spans="17:17">
      <c r="Q403" s="878"/>
    </row>
    <row r="404" spans="17:17">
      <c r="Q404" s="878"/>
    </row>
    <row r="405" spans="17:17">
      <c r="Q405" s="878"/>
    </row>
    <row r="406" spans="17:17">
      <c r="Q406" s="878"/>
    </row>
    <row r="407" spans="17:17">
      <c r="Q407" s="878"/>
    </row>
    <row r="408" spans="17:17">
      <c r="Q408" s="878"/>
    </row>
    <row r="409" spans="17:17">
      <c r="Q409" s="878"/>
    </row>
    <row r="410" spans="17:17">
      <c r="Q410" s="878"/>
    </row>
    <row r="411" spans="17:17">
      <c r="Q411" s="878"/>
    </row>
    <row r="412" spans="17:17">
      <c r="Q412" s="878"/>
    </row>
    <row r="413" spans="17:17">
      <c r="Q413" s="878"/>
    </row>
    <row r="414" spans="17:17">
      <c r="Q414" s="878"/>
    </row>
    <row r="415" spans="17:17">
      <c r="Q415" s="878"/>
    </row>
    <row r="416" spans="17:17">
      <c r="Q416" s="878"/>
    </row>
    <row r="417" spans="17:17">
      <c r="Q417" s="878"/>
    </row>
    <row r="418" spans="17:17">
      <c r="Q418" s="878"/>
    </row>
    <row r="419" spans="17:17">
      <c r="Q419" s="878"/>
    </row>
    <row r="420" spans="17:17">
      <c r="Q420" s="878"/>
    </row>
    <row r="421" spans="17:17">
      <c r="Q421" s="878"/>
    </row>
  </sheetData>
  <mergeCells count="12">
    <mergeCell ref="B76:N76"/>
    <mergeCell ref="B77:N77"/>
    <mergeCell ref="B168:N168"/>
    <mergeCell ref="B169:N169"/>
    <mergeCell ref="B170:N170"/>
    <mergeCell ref="B2:P2"/>
    <mergeCell ref="B3:P3"/>
    <mergeCell ref="B25:P25"/>
    <mergeCell ref="B75:N75"/>
    <mergeCell ref="B4:N4"/>
    <mergeCell ref="B7:P7"/>
    <mergeCell ref="B5:P5"/>
  </mergeCells>
  <pageMargins left="0.25" right="0.25" top="0.75" bottom="0.75" header="0.3" footer="0.3"/>
  <pageSetup scale="43" fitToHeight="3" orientation="portrait" r:id="rId1"/>
  <rowBreaks count="2" manualBreakCount="2">
    <brk id="72" max="16383" man="1"/>
    <brk id="1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P240"/>
  <sheetViews>
    <sheetView workbookViewId="0">
      <selection activeCell="I19" sqref="I19"/>
    </sheetView>
  </sheetViews>
  <sheetFormatPr defaultRowHeight="15"/>
  <cols>
    <col min="1" max="1" width="6.5546875" style="875" customWidth="1"/>
    <col min="2" max="2" width="2.77734375" style="875" customWidth="1"/>
    <col min="3" max="3" width="7.5546875" customWidth="1"/>
    <col min="4" max="4" width="50.77734375" customWidth="1"/>
    <col min="5" max="5" width="8.77734375" bestFit="1" customWidth="1"/>
    <col min="6" max="6" width="25" customWidth="1"/>
    <col min="9" max="9" width="23" style="162" customWidth="1"/>
    <col min="10" max="10" width="25.77734375" style="162" customWidth="1"/>
    <col min="11" max="11" width="13.77734375" style="162" customWidth="1"/>
  </cols>
  <sheetData>
    <row r="1" spans="1:16" ht="15.75">
      <c r="C1" s="852"/>
      <c r="D1" s="852"/>
      <c r="E1" s="852"/>
      <c r="F1" s="852"/>
      <c r="I1" s="572"/>
      <c r="J1" s="19"/>
      <c r="K1" s="573"/>
    </row>
    <row r="2" spans="1:16" ht="15.75">
      <c r="C2" s="852"/>
      <c r="D2" s="852"/>
      <c r="E2" s="852"/>
      <c r="F2" s="852"/>
      <c r="I2" s="572"/>
      <c r="J2" s="576"/>
      <c r="K2" s="574"/>
    </row>
    <row r="3" spans="1:16">
      <c r="C3" s="852"/>
      <c r="D3" s="852"/>
      <c r="E3" s="852"/>
      <c r="F3" s="852"/>
      <c r="I3" s="575"/>
      <c r="J3" s="576"/>
      <c r="K3" s="574"/>
    </row>
    <row r="4" spans="1:16" ht="15.75">
      <c r="C4" s="1624" t="s">
        <v>528</v>
      </c>
      <c r="D4" s="1624"/>
      <c r="E4" s="1624"/>
      <c r="F4" s="1624"/>
      <c r="I4" s="575"/>
      <c r="J4" s="576"/>
      <c r="K4" s="574"/>
    </row>
    <row r="5" spans="1:16" ht="15.75">
      <c r="C5" s="1624" t="s">
        <v>491</v>
      </c>
      <c r="D5" s="1624"/>
      <c r="E5" s="1624"/>
      <c r="F5" s="1624"/>
      <c r="I5" s="575"/>
      <c r="J5" s="576"/>
      <c r="K5" s="574"/>
    </row>
    <row r="6" spans="1:16" ht="15.75">
      <c r="C6" s="852"/>
      <c r="D6" s="853"/>
      <c r="E6" s="853"/>
      <c r="F6" s="853"/>
      <c r="G6" s="449"/>
      <c r="H6" s="449"/>
      <c r="I6" s="575"/>
      <c r="J6" s="577"/>
      <c r="K6" s="574"/>
      <c r="L6" s="449"/>
      <c r="M6" s="449"/>
      <c r="N6" s="449"/>
      <c r="O6" s="449"/>
      <c r="P6" s="449"/>
    </row>
    <row r="7" spans="1:16">
      <c r="A7" s="875" t="s">
        <v>15</v>
      </c>
      <c r="C7" s="853" t="s">
        <v>529</v>
      </c>
      <c r="D7" s="853" t="s">
        <v>530</v>
      </c>
      <c r="F7" s="853" t="s">
        <v>531</v>
      </c>
      <c r="I7" s="575"/>
      <c r="J7" s="577"/>
      <c r="K7" s="574"/>
    </row>
    <row r="8" spans="1:16" ht="15.75">
      <c r="C8" s="1469" t="s">
        <v>1028</v>
      </c>
      <c r="D8" s="853"/>
      <c r="E8" s="853"/>
      <c r="F8" s="853"/>
      <c r="I8" s="575"/>
      <c r="J8" s="576"/>
      <c r="K8" s="574"/>
    </row>
    <row r="9" spans="1:16">
      <c r="A9" s="875">
        <v>1</v>
      </c>
      <c r="C9" s="872">
        <v>350</v>
      </c>
      <c r="D9" s="853" t="s">
        <v>532</v>
      </c>
      <c r="F9" s="868">
        <v>2.56</v>
      </c>
      <c r="I9" s="575"/>
      <c r="J9" s="576"/>
      <c r="K9" s="574"/>
    </row>
    <row r="10" spans="1:16">
      <c r="A10" s="875">
        <f>+A9+1</f>
        <v>2</v>
      </c>
      <c r="C10" s="872" t="s">
        <v>962</v>
      </c>
      <c r="D10" s="853" t="s">
        <v>533</v>
      </c>
      <c r="F10" s="868">
        <v>1.78</v>
      </c>
      <c r="I10" s="575"/>
      <c r="J10" s="576"/>
      <c r="K10" s="574"/>
    </row>
    <row r="11" spans="1:16">
      <c r="A11" s="875">
        <f t="shared" ref="A11:A38" si="0">+A10+1</f>
        <v>3</v>
      </c>
      <c r="C11" s="872" t="s">
        <v>963</v>
      </c>
      <c r="D11" s="853" t="s">
        <v>534</v>
      </c>
      <c r="F11" s="868">
        <v>1.86</v>
      </c>
      <c r="I11" s="575"/>
      <c r="J11" s="576"/>
      <c r="K11" s="574"/>
    </row>
    <row r="12" spans="1:16">
      <c r="A12" s="875">
        <f t="shared" si="0"/>
        <v>4</v>
      </c>
      <c r="C12" s="872" t="s">
        <v>961</v>
      </c>
      <c r="D12" s="853" t="s">
        <v>535</v>
      </c>
      <c r="F12" s="868">
        <v>2.76</v>
      </c>
      <c r="I12" s="575"/>
      <c r="J12" s="576"/>
      <c r="K12" s="574"/>
    </row>
    <row r="13" spans="1:16">
      <c r="A13" s="875">
        <f>+A12+1</f>
        <v>5</v>
      </c>
      <c r="C13" s="872" t="s">
        <v>964</v>
      </c>
      <c r="D13" s="853" t="str">
        <f>+D12</f>
        <v xml:space="preserve"> Station Equipment </v>
      </c>
      <c r="F13" s="868">
        <v>1.65</v>
      </c>
      <c r="I13" s="575"/>
      <c r="J13" s="576"/>
      <c r="K13" s="574"/>
    </row>
    <row r="14" spans="1:16">
      <c r="A14" s="875">
        <f>+A13+1</f>
        <v>6</v>
      </c>
      <c r="C14" s="872" t="s">
        <v>536</v>
      </c>
      <c r="D14" s="853" t="s">
        <v>537</v>
      </c>
      <c r="F14" s="868">
        <v>2.04</v>
      </c>
      <c r="I14" s="575"/>
      <c r="J14" s="576"/>
      <c r="K14" s="574"/>
    </row>
    <row r="15" spans="1:16">
      <c r="A15" s="875">
        <f t="shared" si="0"/>
        <v>7</v>
      </c>
      <c r="C15" s="872" t="s">
        <v>538</v>
      </c>
      <c r="D15" s="853" t="s">
        <v>539</v>
      </c>
      <c r="F15" s="868">
        <v>3.09</v>
      </c>
      <c r="I15" s="575"/>
      <c r="J15" s="576"/>
      <c r="K15" s="574"/>
    </row>
    <row r="16" spans="1:16">
      <c r="A16" s="875">
        <f t="shared" si="0"/>
        <v>8</v>
      </c>
      <c r="C16" s="872" t="s">
        <v>540</v>
      </c>
      <c r="D16" s="853" t="s">
        <v>541</v>
      </c>
      <c r="F16" s="868">
        <v>2.57</v>
      </c>
      <c r="I16" s="575"/>
      <c r="J16" s="576"/>
      <c r="K16" s="574"/>
    </row>
    <row r="17" spans="1:11">
      <c r="A17" s="875">
        <f t="shared" si="0"/>
        <v>9</v>
      </c>
      <c r="C17" s="872" t="s">
        <v>542</v>
      </c>
      <c r="D17" s="853" t="s">
        <v>543</v>
      </c>
      <c r="F17" s="868">
        <v>1.68</v>
      </c>
      <c r="I17" s="575"/>
      <c r="J17" s="576"/>
      <c r="K17" s="574"/>
    </row>
    <row r="18" spans="1:11">
      <c r="A18" s="875">
        <f t="shared" si="0"/>
        <v>10</v>
      </c>
      <c r="C18" s="872" t="s">
        <v>544</v>
      </c>
      <c r="D18" s="853" t="s">
        <v>545</v>
      </c>
      <c r="F18" s="868">
        <v>1.99</v>
      </c>
      <c r="I18" s="575"/>
      <c r="J18" s="576"/>
      <c r="K18" s="574"/>
    </row>
    <row r="19" spans="1:11">
      <c r="A19" s="875">
        <f t="shared" si="0"/>
        <v>11</v>
      </c>
      <c r="C19" s="872" t="s">
        <v>546</v>
      </c>
      <c r="D19" s="853" t="s">
        <v>547</v>
      </c>
      <c r="F19" s="868">
        <v>1.93</v>
      </c>
      <c r="I19" s="575"/>
      <c r="J19" s="576"/>
      <c r="K19" s="574"/>
    </row>
    <row r="20" spans="1:11" ht="15.75">
      <c r="A20" s="875">
        <f t="shared" si="0"/>
        <v>12</v>
      </c>
      <c r="C20" s="872" t="s">
        <v>548</v>
      </c>
      <c r="D20" s="853"/>
      <c r="E20" s="853"/>
      <c r="F20" s="868"/>
      <c r="I20" s="575"/>
      <c r="J20" s="576"/>
      <c r="K20" s="574"/>
    </row>
    <row r="21" spans="1:11">
      <c r="A21" s="875">
        <f t="shared" si="0"/>
        <v>13</v>
      </c>
      <c r="C21" s="872" t="s">
        <v>549</v>
      </c>
      <c r="D21" s="853" t="s">
        <v>550</v>
      </c>
      <c r="F21" s="868" t="s">
        <v>551</v>
      </c>
      <c r="I21" s="575"/>
      <c r="J21" s="576"/>
      <c r="K21" s="574"/>
    </row>
    <row r="22" spans="1:11">
      <c r="A22" s="875">
        <f t="shared" si="0"/>
        <v>14</v>
      </c>
      <c r="C22" s="872" t="s">
        <v>552</v>
      </c>
      <c r="D22" s="853" t="s">
        <v>553</v>
      </c>
      <c r="F22" s="868" t="s">
        <v>554</v>
      </c>
      <c r="I22" s="575"/>
      <c r="J22" s="576"/>
      <c r="K22" s="574"/>
    </row>
    <row r="23" spans="1:11">
      <c r="A23" s="875">
        <f t="shared" si="0"/>
        <v>15</v>
      </c>
      <c r="C23" s="872" t="s">
        <v>555</v>
      </c>
      <c r="D23" s="853" t="s">
        <v>556</v>
      </c>
      <c r="F23" s="868" t="s">
        <v>557</v>
      </c>
      <c r="I23" s="575"/>
      <c r="J23" s="576"/>
      <c r="K23" s="574"/>
    </row>
    <row r="24" spans="1:11">
      <c r="A24" s="875">
        <f t="shared" si="0"/>
        <v>16</v>
      </c>
      <c r="C24" s="872" t="s">
        <v>558</v>
      </c>
      <c r="D24" s="853" t="s">
        <v>559</v>
      </c>
      <c r="F24" s="868" t="s">
        <v>560</v>
      </c>
      <c r="I24" s="575"/>
      <c r="J24" s="576"/>
      <c r="K24" s="574"/>
    </row>
    <row r="25" spans="1:11">
      <c r="A25" s="875">
        <f t="shared" si="0"/>
        <v>17</v>
      </c>
      <c r="C25" s="872" t="s">
        <v>561</v>
      </c>
      <c r="D25" s="853" t="s">
        <v>562</v>
      </c>
      <c r="F25" s="868" t="s">
        <v>563</v>
      </c>
      <c r="I25" s="575"/>
      <c r="J25" s="576"/>
      <c r="K25" s="574"/>
    </row>
    <row r="26" spans="1:11">
      <c r="A26" s="875">
        <f t="shared" si="0"/>
        <v>18</v>
      </c>
      <c r="C26" s="872" t="s">
        <v>564</v>
      </c>
      <c r="D26" s="853" t="s">
        <v>565</v>
      </c>
      <c r="F26" s="868" t="s">
        <v>566</v>
      </c>
      <c r="I26" s="575"/>
      <c r="J26" s="576"/>
      <c r="K26" s="574"/>
    </row>
    <row r="27" spans="1:11">
      <c r="A27" s="875">
        <f t="shared" si="0"/>
        <v>19</v>
      </c>
      <c r="C27" s="872" t="s">
        <v>567</v>
      </c>
      <c r="D27" s="853" t="s">
        <v>568</v>
      </c>
      <c r="F27" s="868" t="s">
        <v>569</v>
      </c>
      <c r="I27" s="575"/>
      <c r="J27" s="576"/>
      <c r="K27" s="574"/>
    </row>
    <row r="28" spans="1:11">
      <c r="A28" s="875">
        <f t="shared" si="0"/>
        <v>20</v>
      </c>
      <c r="C28" s="872" t="s">
        <v>570</v>
      </c>
      <c r="D28" s="853" t="s">
        <v>571</v>
      </c>
      <c r="F28" s="1145">
        <v>6.74</v>
      </c>
      <c r="I28" s="575"/>
      <c r="J28" s="576"/>
      <c r="K28" s="574"/>
    </row>
    <row r="29" spans="1:11">
      <c r="A29" s="875">
        <f t="shared" ref="A29:A34" si="1">+A28+1</f>
        <v>21</v>
      </c>
      <c r="C29" s="872" t="s">
        <v>572</v>
      </c>
      <c r="D29" s="853" t="s">
        <v>573</v>
      </c>
      <c r="F29" s="868"/>
      <c r="I29" s="575"/>
      <c r="J29" s="576"/>
      <c r="K29" s="574"/>
    </row>
    <row r="30" spans="1:11">
      <c r="A30" s="875">
        <f t="shared" si="1"/>
        <v>22</v>
      </c>
      <c r="C30" s="872"/>
      <c r="D30" s="853" t="s">
        <v>581</v>
      </c>
      <c r="F30" s="1145">
        <v>20</v>
      </c>
      <c r="I30" s="575"/>
      <c r="J30" s="576"/>
      <c r="K30" s="574"/>
    </row>
    <row r="31" spans="1:11">
      <c r="A31" s="875">
        <f t="shared" si="1"/>
        <v>23</v>
      </c>
      <c r="C31" s="872"/>
      <c r="D31" s="853" t="s">
        <v>582</v>
      </c>
      <c r="F31" s="1145">
        <v>10</v>
      </c>
      <c r="I31" s="575"/>
      <c r="J31" s="576"/>
      <c r="K31" s="574"/>
    </row>
    <row r="32" spans="1:11">
      <c r="A32" s="875">
        <f t="shared" si="1"/>
        <v>24</v>
      </c>
      <c r="C32" s="872"/>
      <c r="D32" s="853" t="s">
        <v>750</v>
      </c>
      <c r="F32" s="1145">
        <v>5</v>
      </c>
      <c r="I32" s="575"/>
      <c r="J32" s="576"/>
      <c r="K32" s="574"/>
    </row>
    <row r="33" spans="1:11" ht="15.75">
      <c r="A33" s="875">
        <f t="shared" si="1"/>
        <v>25</v>
      </c>
      <c r="C33" s="872" t="s">
        <v>574</v>
      </c>
      <c r="D33" s="853"/>
      <c r="E33" s="853"/>
      <c r="F33" s="868"/>
      <c r="I33" s="575"/>
      <c r="J33" s="576"/>
      <c r="K33" s="574"/>
    </row>
    <row r="34" spans="1:11">
      <c r="A34" s="875">
        <f t="shared" si="1"/>
        <v>26</v>
      </c>
      <c r="C34" s="872" t="s">
        <v>575</v>
      </c>
      <c r="D34" s="853" t="s">
        <v>576</v>
      </c>
      <c r="F34" s="868"/>
      <c r="I34" s="575"/>
      <c r="J34" s="576"/>
      <c r="K34" s="574"/>
    </row>
    <row r="35" spans="1:11">
      <c r="A35" s="1144">
        <f t="shared" si="0"/>
        <v>27</v>
      </c>
      <c r="C35" s="872"/>
      <c r="D35" s="853" t="s">
        <v>581</v>
      </c>
      <c r="F35" s="1145">
        <v>20</v>
      </c>
      <c r="I35" s="575"/>
      <c r="J35" s="576"/>
      <c r="K35" s="574"/>
    </row>
    <row r="36" spans="1:11">
      <c r="A36" s="1144">
        <f t="shared" si="0"/>
        <v>28</v>
      </c>
      <c r="C36" s="872"/>
      <c r="D36" s="853" t="s">
        <v>580</v>
      </c>
      <c r="F36" s="1145">
        <v>14.285714285714286</v>
      </c>
      <c r="I36" s="575"/>
      <c r="J36" s="576"/>
      <c r="K36" s="574"/>
    </row>
    <row r="37" spans="1:11">
      <c r="A37" s="1144">
        <f t="shared" si="0"/>
        <v>29</v>
      </c>
      <c r="C37" s="872"/>
      <c r="D37" s="853" t="s">
        <v>582</v>
      </c>
      <c r="F37" s="1145">
        <v>10</v>
      </c>
      <c r="I37" s="575"/>
      <c r="J37" s="576"/>
      <c r="K37" s="574"/>
    </row>
    <row r="38" spans="1:11">
      <c r="A38" s="1144">
        <f t="shared" si="0"/>
        <v>30</v>
      </c>
      <c r="D38" s="873" t="s">
        <v>583</v>
      </c>
      <c r="E38" s="853"/>
      <c r="F38" s="871" t="s">
        <v>577</v>
      </c>
      <c r="I38" s="575"/>
      <c r="J38" s="576"/>
      <c r="K38" s="574"/>
    </row>
    <row r="39" spans="1:11">
      <c r="A39" s="1144"/>
      <c r="C39" s="853"/>
      <c r="D39" s="853"/>
      <c r="E39" s="853"/>
      <c r="F39" s="853"/>
      <c r="I39" s="575"/>
      <c r="J39" s="576"/>
      <c r="K39" s="574"/>
    </row>
    <row r="40" spans="1:11">
      <c r="A40" s="1144"/>
      <c r="D40" s="853"/>
      <c r="E40" s="853"/>
      <c r="F40" s="853"/>
      <c r="I40" s="575"/>
      <c r="J40" s="576"/>
      <c r="K40" s="574"/>
    </row>
    <row r="41" spans="1:11" ht="16.5" customHeight="1">
      <c r="A41" s="1144"/>
      <c r="C41" s="1625" t="s">
        <v>1056</v>
      </c>
      <c r="D41" s="1625"/>
      <c r="E41" s="1625"/>
      <c r="F41" s="1625"/>
      <c r="I41" s="575"/>
      <c r="J41" s="576"/>
      <c r="K41" s="574"/>
    </row>
    <row r="42" spans="1:11" ht="15.75" customHeight="1">
      <c r="A42" s="1144"/>
      <c r="C42" s="1625"/>
      <c r="D42" s="1625"/>
      <c r="E42" s="1625"/>
      <c r="F42" s="1625"/>
      <c r="I42" s="575"/>
      <c r="K42" s="574"/>
    </row>
    <row r="43" spans="1:11" ht="15.75" customHeight="1">
      <c r="A43" s="1144"/>
      <c r="C43" s="1625"/>
      <c r="D43" s="1625"/>
      <c r="E43" s="1625"/>
      <c r="F43" s="1625"/>
      <c r="I43" s="575"/>
      <c r="J43" s="576"/>
      <c r="K43" s="574"/>
    </row>
    <row r="44" spans="1:11" ht="69" customHeight="1">
      <c r="A44" s="1144"/>
      <c r="C44" s="1625"/>
      <c r="D44" s="1625"/>
      <c r="E44" s="1625"/>
      <c r="F44" s="1625"/>
      <c r="I44" s="575"/>
      <c r="J44" s="576"/>
      <c r="K44" s="574"/>
    </row>
    <row r="45" spans="1:11" ht="15.75">
      <c r="A45" s="1144"/>
      <c r="C45" s="1471"/>
      <c r="D45" s="1472"/>
      <c r="E45" s="853"/>
      <c r="I45" s="575"/>
      <c r="J45" s="576"/>
      <c r="K45" s="574"/>
    </row>
    <row r="46" spans="1:11">
      <c r="A46" s="1144"/>
      <c r="C46" s="1473"/>
      <c r="D46" s="1472"/>
      <c r="E46" s="853"/>
      <c r="I46" s="575"/>
      <c r="J46" s="576"/>
      <c r="K46" s="574"/>
    </row>
    <row r="47" spans="1:11">
      <c r="A47" s="1144"/>
      <c r="C47" s="853" t="s">
        <v>578</v>
      </c>
      <c r="D47" s="853"/>
      <c r="E47" s="853"/>
      <c r="I47" s="575"/>
      <c r="J47" s="576"/>
      <c r="K47" s="574"/>
    </row>
    <row r="48" spans="1:11">
      <c r="A48" s="1144"/>
      <c r="C48" s="852"/>
      <c r="D48" s="852"/>
      <c r="E48" s="852"/>
      <c r="I48" s="575"/>
      <c r="J48" s="576"/>
      <c r="K48" s="574"/>
    </row>
    <row r="49" spans="1:11" s="848" customFormat="1" ht="15.75">
      <c r="A49" s="876"/>
      <c r="B49" s="876"/>
      <c r="I49" s="849"/>
      <c r="J49" s="849"/>
      <c r="K49" s="849"/>
    </row>
    <row r="50" spans="1:11" s="848" customFormat="1" ht="15.75">
      <c r="A50" s="876"/>
      <c r="B50" s="876"/>
      <c r="I50" s="849"/>
      <c r="J50" s="849"/>
      <c r="K50" s="849"/>
    </row>
    <row r="51" spans="1:11" s="848" customFormat="1" ht="15.75">
      <c r="A51" s="876"/>
      <c r="B51" s="876"/>
      <c r="I51" s="849"/>
      <c r="J51" s="849"/>
      <c r="K51" s="849"/>
    </row>
    <row r="52" spans="1:11" s="848" customFormat="1" ht="15.75">
      <c r="A52" s="876"/>
      <c r="B52" s="876"/>
      <c r="I52" s="849"/>
      <c r="J52" s="849"/>
      <c r="K52" s="849"/>
    </row>
    <row r="53" spans="1:11" s="848" customFormat="1" ht="15.75">
      <c r="A53" s="876"/>
      <c r="B53" s="876"/>
      <c r="I53" s="849"/>
      <c r="J53" s="849"/>
      <c r="K53" s="849"/>
    </row>
    <row r="54" spans="1:11" s="848" customFormat="1" ht="15.75">
      <c r="A54" s="876"/>
      <c r="B54" s="876"/>
      <c r="I54" s="849"/>
      <c r="J54" s="849"/>
      <c r="K54" s="849"/>
    </row>
    <row r="55" spans="1:11" s="848" customFormat="1" ht="15.75">
      <c r="A55" s="876"/>
      <c r="B55" s="876"/>
      <c r="I55" s="849"/>
      <c r="J55" s="849"/>
      <c r="K55" s="849"/>
    </row>
    <row r="56" spans="1:11" s="848" customFormat="1" ht="15.75">
      <c r="A56" s="876"/>
      <c r="B56" s="876"/>
      <c r="I56" s="849"/>
      <c r="J56" s="849"/>
      <c r="K56" s="849"/>
    </row>
    <row r="57" spans="1:11" s="848" customFormat="1" ht="15.75">
      <c r="A57" s="876"/>
      <c r="B57" s="876"/>
      <c r="I57" s="849"/>
      <c r="J57" s="849"/>
      <c r="K57" s="849"/>
    </row>
    <row r="58" spans="1:11" s="848" customFormat="1" ht="15.75">
      <c r="A58" s="876"/>
      <c r="B58" s="876"/>
      <c r="I58" s="849"/>
      <c r="J58" s="849"/>
      <c r="K58" s="849"/>
    </row>
    <row r="59" spans="1:11" s="848" customFormat="1" ht="15.75">
      <c r="A59" s="876"/>
      <c r="B59" s="876"/>
      <c r="I59" s="849"/>
      <c r="J59" s="849"/>
      <c r="K59" s="849"/>
    </row>
    <row r="60" spans="1:11" s="848" customFormat="1" ht="15.75">
      <c r="A60" s="876"/>
      <c r="B60" s="876"/>
      <c r="I60" s="849"/>
      <c r="J60" s="849"/>
      <c r="K60" s="849"/>
    </row>
    <row r="61" spans="1:11" s="848" customFormat="1" ht="15.75">
      <c r="A61" s="876"/>
      <c r="B61" s="876"/>
      <c r="I61" s="849"/>
      <c r="J61" s="849"/>
      <c r="K61" s="849"/>
    </row>
    <row r="62" spans="1:11" s="848" customFormat="1" ht="15.75">
      <c r="A62" s="876"/>
      <c r="B62" s="876"/>
      <c r="I62" s="849"/>
      <c r="J62" s="849"/>
      <c r="K62" s="849"/>
    </row>
    <row r="63" spans="1:11" s="848" customFormat="1" ht="15.75">
      <c r="A63" s="876"/>
      <c r="B63" s="876"/>
      <c r="I63" s="849"/>
      <c r="J63" s="849"/>
      <c r="K63" s="849"/>
    </row>
    <row r="64" spans="1:11" s="848" customFormat="1" ht="15.75">
      <c r="A64" s="876"/>
      <c r="B64" s="876"/>
      <c r="I64" s="849"/>
      <c r="J64" s="849"/>
      <c r="K64" s="849"/>
    </row>
    <row r="65" spans="1:11" s="848" customFormat="1" ht="15.75">
      <c r="A65" s="876"/>
      <c r="B65" s="876"/>
      <c r="I65" s="849"/>
      <c r="J65" s="849"/>
      <c r="K65" s="849"/>
    </row>
    <row r="66" spans="1:11" s="848" customFormat="1" ht="15.75">
      <c r="A66" s="876"/>
      <c r="B66" s="876"/>
      <c r="I66" s="849"/>
      <c r="J66" s="849"/>
      <c r="K66" s="849"/>
    </row>
    <row r="67" spans="1:11" s="848" customFormat="1" ht="15.75">
      <c r="A67" s="876"/>
      <c r="B67" s="876"/>
      <c r="I67" s="849"/>
      <c r="J67" s="849"/>
      <c r="K67" s="849"/>
    </row>
    <row r="68" spans="1:11" s="848" customFormat="1" ht="15.75">
      <c r="A68" s="876"/>
      <c r="B68" s="876"/>
      <c r="I68" s="849"/>
      <c r="J68" s="849"/>
      <c r="K68" s="849"/>
    </row>
    <row r="69" spans="1:11" s="848" customFormat="1" ht="15.75">
      <c r="A69" s="876"/>
      <c r="B69" s="876"/>
      <c r="I69" s="849"/>
      <c r="J69" s="849"/>
      <c r="K69" s="849"/>
    </row>
    <row r="70" spans="1:11" s="848" customFormat="1" ht="15.75">
      <c r="A70" s="876"/>
      <c r="B70" s="876"/>
      <c r="I70" s="849"/>
      <c r="J70" s="849"/>
      <c r="K70" s="849"/>
    </row>
    <row r="71" spans="1:11" s="848" customFormat="1" ht="15.75">
      <c r="A71" s="876"/>
      <c r="B71" s="876"/>
      <c r="I71" s="849"/>
      <c r="J71" s="849"/>
      <c r="K71" s="849"/>
    </row>
    <row r="72" spans="1:11" s="848" customFormat="1" ht="15.75">
      <c r="A72" s="876"/>
      <c r="B72" s="876"/>
      <c r="I72" s="849"/>
      <c r="J72" s="849"/>
      <c r="K72" s="849"/>
    </row>
    <row r="73" spans="1:11" s="848" customFormat="1" ht="15.75">
      <c r="A73" s="876"/>
      <c r="B73" s="876"/>
      <c r="I73" s="849"/>
      <c r="J73" s="849"/>
      <c r="K73" s="849"/>
    </row>
    <row r="74" spans="1:11" s="848" customFormat="1" ht="15.75">
      <c r="A74" s="876"/>
      <c r="B74" s="876"/>
      <c r="I74" s="849"/>
      <c r="J74" s="849"/>
      <c r="K74" s="849"/>
    </row>
    <row r="75" spans="1:11" s="848" customFormat="1" ht="15.75">
      <c r="A75" s="876"/>
      <c r="B75" s="876"/>
      <c r="I75" s="849"/>
      <c r="J75" s="849"/>
      <c r="K75" s="849"/>
    </row>
    <row r="76" spans="1:11" s="848" customFormat="1" ht="15.75">
      <c r="A76" s="876"/>
      <c r="B76" s="876"/>
      <c r="I76" s="849"/>
      <c r="J76" s="849"/>
      <c r="K76" s="849"/>
    </row>
    <row r="77" spans="1:11" s="848" customFormat="1" ht="15.75">
      <c r="A77" s="876"/>
      <c r="B77" s="876"/>
      <c r="I77" s="849"/>
      <c r="J77" s="849"/>
      <c r="K77" s="849"/>
    </row>
    <row r="78" spans="1:11" s="848" customFormat="1" ht="15.75">
      <c r="A78" s="876"/>
      <c r="B78" s="876"/>
      <c r="I78" s="849"/>
      <c r="J78" s="849"/>
      <c r="K78" s="849"/>
    </row>
    <row r="79" spans="1:11" ht="16.5">
      <c r="K79" s="578"/>
    </row>
    <row r="80" spans="1:11" ht="16.5">
      <c r="K80" s="578"/>
    </row>
    <row r="81" spans="11:11" ht="16.5">
      <c r="K81" s="578"/>
    </row>
    <row r="82" spans="11:11" ht="16.5">
      <c r="K82" s="578"/>
    </row>
    <row r="83" spans="11:11" ht="16.5">
      <c r="K83" s="578"/>
    </row>
    <row r="84" spans="11:11" ht="16.5">
      <c r="K84" s="578"/>
    </row>
    <row r="85" spans="11:11" ht="16.5">
      <c r="K85" s="578"/>
    </row>
    <row r="240" spans="9:9">
      <c r="I240" s="859"/>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2:Q67"/>
  <sheetViews>
    <sheetView workbookViewId="0">
      <selection activeCell="B36" sqref="B36"/>
    </sheetView>
  </sheetViews>
  <sheetFormatPr defaultRowHeight="15"/>
  <cols>
    <col min="2" max="2" width="68.77734375" customWidth="1"/>
    <col min="3" max="3" width="22.77734375" customWidth="1"/>
    <col min="4" max="4" width="12.77734375" customWidth="1"/>
    <col min="5" max="5" width="12" style="1066" bestFit="1" customWidth="1"/>
    <col min="6" max="6" width="14.109375" bestFit="1" customWidth="1"/>
    <col min="7" max="7" width="19.77734375" customWidth="1"/>
    <col min="8" max="8" width="1.5546875" customWidth="1"/>
    <col min="9" max="9" width="8.5546875" style="1251" bestFit="1" customWidth="1"/>
    <col min="10" max="10" width="19.21875" style="1251" customWidth="1"/>
    <col min="11" max="11" width="14.77734375" style="1251" customWidth="1"/>
    <col min="12" max="13" width="8.77734375" style="1251"/>
  </cols>
  <sheetData>
    <row r="2" spans="1:17" ht="15.75">
      <c r="A2" s="1626" t="s">
        <v>1075</v>
      </c>
      <c r="B2" s="1627"/>
      <c r="C2" s="1627"/>
      <c r="D2" s="1627"/>
      <c r="E2" s="1627"/>
    </row>
    <row r="3" spans="1:17" ht="15.75">
      <c r="A3" s="1624" t="s">
        <v>491</v>
      </c>
      <c r="B3" s="1624"/>
      <c r="C3" s="1624"/>
      <c r="D3" s="1624"/>
      <c r="E3" s="1624"/>
    </row>
    <row r="5" spans="1:17">
      <c r="A5" s="1482" t="s">
        <v>1074</v>
      </c>
      <c r="B5" s="1482"/>
      <c r="E5"/>
    </row>
    <row r="6" spans="1:17">
      <c r="A6" s="1307"/>
      <c r="B6" s="1307"/>
      <c r="C6" s="1307"/>
      <c r="D6" s="1307"/>
      <c r="E6" s="1307"/>
    </row>
    <row r="7" spans="1:17">
      <c r="B7" t="s">
        <v>835</v>
      </c>
      <c r="C7" s="1068"/>
    </row>
    <row r="8" spans="1:17">
      <c r="C8" s="1068"/>
    </row>
    <row r="9" spans="1:17">
      <c r="A9" s="679">
        <v>1</v>
      </c>
      <c r="B9" s="852" t="s">
        <v>759</v>
      </c>
      <c r="C9" s="1246" t="s">
        <v>922</v>
      </c>
      <c r="D9" s="852"/>
      <c r="E9" s="1220">
        <f>+E30-E29</f>
        <v>0</v>
      </c>
      <c r="F9" s="1221"/>
      <c r="G9" s="1221"/>
      <c r="H9" s="1221"/>
      <c r="I9" s="1252"/>
      <c r="J9" s="1253"/>
      <c r="K9" s="1253"/>
      <c r="L9" s="1252"/>
      <c r="M9" s="1254"/>
      <c r="N9" s="1221"/>
      <c r="O9" s="1221"/>
      <c r="P9" s="1221"/>
      <c r="Q9" s="1221"/>
    </row>
    <row r="10" spans="1:17">
      <c r="A10" s="1067">
        <f>+A9+1</f>
        <v>2</v>
      </c>
      <c r="B10" t="s">
        <v>765</v>
      </c>
      <c r="C10" s="1068" t="s">
        <v>906</v>
      </c>
      <c r="E10" s="411">
        <f>+E65</f>
        <v>0</v>
      </c>
      <c r="F10" s="1249"/>
      <c r="G10" s="1249"/>
      <c r="H10" s="1221"/>
      <c r="I10" s="1255"/>
      <c r="J10" s="1256"/>
      <c r="K10" s="1256"/>
      <c r="L10" s="1254"/>
      <c r="M10" s="1254"/>
      <c r="N10" s="1221"/>
      <c r="O10" s="1221"/>
      <c r="P10" s="1221"/>
      <c r="Q10" s="1221"/>
    </row>
    <row r="11" spans="1:17">
      <c r="A11" s="679">
        <f>+A10+1</f>
        <v>3</v>
      </c>
      <c r="B11" t="s">
        <v>766</v>
      </c>
      <c r="C11" s="1068" t="s">
        <v>953</v>
      </c>
      <c r="E11" s="1250">
        <f>+E64</f>
        <v>0</v>
      </c>
      <c r="F11" s="1249"/>
      <c r="G11" s="1221"/>
      <c r="H11" s="1221"/>
      <c r="I11" s="1255"/>
      <c r="J11" s="1256"/>
      <c r="K11" s="1256"/>
      <c r="L11" s="1254"/>
      <c r="M11" s="1254"/>
      <c r="N11" s="1221"/>
      <c r="O11" s="1221"/>
      <c r="P11" s="1221"/>
      <c r="Q11" s="1221"/>
    </row>
    <row r="12" spans="1:17">
      <c r="A12" s="1067">
        <f>+A11+1</f>
        <v>4</v>
      </c>
      <c r="B12" t="s">
        <v>680</v>
      </c>
      <c r="C12" s="1068" t="s">
        <v>905</v>
      </c>
      <c r="E12" s="679">
        <f>IF(E11=0,0,(E9*(E10/(E10+E11))))</f>
        <v>0</v>
      </c>
      <c r="F12" s="1222"/>
      <c r="G12" s="1221"/>
      <c r="H12" s="1221"/>
      <c r="I12" s="1255"/>
      <c r="J12" s="1256"/>
      <c r="K12" s="1256"/>
      <c r="L12" s="1254"/>
      <c r="M12" s="1254"/>
      <c r="N12" s="1221"/>
      <c r="O12" s="1221"/>
      <c r="P12" s="1221"/>
      <c r="Q12" s="1221"/>
    </row>
    <row r="13" spans="1:17">
      <c r="A13" s="1067">
        <f>+A12+1</f>
        <v>5</v>
      </c>
      <c r="B13" t="s">
        <v>756</v>
      </c>
      <c r="C13" s="1068" t="s">
        <v>904</v>
      </c>
      <c r="E13" s="1220">
        <f>+C35</f>
        <v>0</v>
      </c>
      <c r="F13" s="1221"/>
      <c r="G13" s="1221"/>
      <c r="H13" s="1221"/>
      <c r="I13" s="1255"/>
      <c r="J13" s="1256"/>
      <c r="K13" s="1256"/>
      <c r="L13" s="1254"/>
      <c r="M13" s="1254"/>
      <c r="N13" s="1221"/>
      <c r="O13" s="1221"/>
      <c r="P13" s="1221"/>
      <c r="Q13" s="1221"/>
    </row>
    <row r="14" spans="1:17">
      <c r="B14" s="852" t="s">
        <v>911</v>
      </c>
      <c r="C14" s="1068"/>
      <c r="E14" s="679"/>
      <c r="F14" s="1221"/>
      <c r="G14" s="1221"/>
      <c r="H14" s="1221"/>
      <c r="I14" s="1255"/>
      <c r="J14" s="1257"/>
      <c r="K14" s="1256"/>
      <c r="L14" s="1254"/>
      <c r="M14" s="1254"/>
      <c r="N14" s="1221"/>
      <c r="O14" s="1221"/>
      <c r="P14" s="1221"/>
      <c r="Q14" s="1221"/>
    </row>
    <row r="15" spans="1:17">
      <c r="C15" s="1068"/>
      <c r="E15" s="679"/>
      <c r="F15" s="1221"/>
      <c r="G15" s="1221"/>
      <c r="H15" s="1221"/>
      <c r="I15" s="1255"/>
      <c r="J15" s="1257"/>
      <c r="K15" s="1256"/>
      <c r="L15" s="1258"/>
      <c r="M15" s="1254"/>
      <c r="N15" s="1221"/>
      <c r="O15" s="1221"/>
      <c r="P15" s="1221"/>
      <c r="Q15" s="1221"/>
    </row>
    <row r="16" spans="1:17">
      <c r="B16" t="s">
        <v>681</v>
      </c>
      <c r="C16" s="1068"/>
      <c r="E16" s="679"/>
      <c r="F16" s="1221"/>
      <c r="G16" s="1221"/>
      <c r="H16" s="1221"/>
      <c r="I16" s="1255"/>
      <c r="J16" s="1257"/>
      <c r="K16" s="1256"/>
      <c r="L16" s="1258"/>
      <c r="M16" s="1254"/>
      <c r="N16" s="1221"/>
      <c r="O16" s="1221"/>
      <c r="P16" s="1221"/>
      <c r="Q16" s="1221"/>
    </row>
    <row r="17" spans="1:17">
      <c r="A17" s="852"/>
      <c r="B17" s="852"/>
      <c r="C17" s="1246"/>
      <c r="D17" s="852"/>
      <c r="E17" s="679"/>
      <c r="F17" s="852"/>
      <c r="G17" s="1221"/>
      <c r="H17" s="1221"/>
      <c r="I17" s="1255"/>
      <c r="J17" s="1257"/>
      <c r="K17" s="1256"/>
      <c r="L17" s="1254"/>
      <c r="M17" s="1254"/>
      <c r="N17" s="1221"/>
      <c r="O17" s="1221"/>
      <c r="P17" s="1221"/>
      <c r="Q17" s="1221"/>
    </row>
    <row r="18" spans="1:17">
      <c r="A18" s="679">
        <f>+A13+1</f>
        <v>6</v>
      </c>
      <c r="B18" s="852" t="s">
        <v>903</v>
      </c>
      <c r="C18" s="1246" t="s">
        <v>902</v>
      </c>
      <c r="D18" s="852"/>
      <c r="E18" s="1220">
        <f>+E62</f>
        <v>0</v>
      </c>
      <c r="F18" s="852"/>
      <c r="I18" s="1255"/>
      <c r="J18" s="1257"/>
      <c r="K18" s="1256"/>
      <c r="L18" s="1254"/>
    </row>
    <row r="19" spans="1:17">
      <c r="A19" s="679">
        <f>+A18+1</f>
        <v>7</v>
      </c>
      <c r="B19" s="852" t="str">
        <f>+B10</f>
        <v>CEC Gross Plant Investment in CVT Project thru lease pmt to MCCT</v>
      </c>
      <c r="C19" s="1246" t="s">
        <v>901</v>
      </c>
      <c r="D19" s="852"/>
      <c r="E19" s="1220">
        <f>+E10</f>
        <v>0</v>
      </c>
      <c r="F19" s="852"/>
      <c r="I19" s="1255"/>
      <c r="J19" s="1257"/>
      <c r="K19" s="1256"/>
      <c r="L19" s="1254"/>
    </row>
    <row r="20" spans="1:17">
      <c r="A20" s="679">
        <f>+A19+1</f>
        <v>8</v>
      </c>
      <c r="B20" s="852" t="str">
        <f>+B11</f>
        <v>MCCT Gross Plant Investment in CVT Project, excluding amount leased to CEC</v>
      </c>
      <c r="C20" s="1306" t="str">
        <f>+C11</f>
        <v>Note 1, line d but for relevant period</v>
      </c>
      <c r="D20" s="852"/>
      <c r="E20" s="1245">
        <v>0</v>
      </c>
      <c r="F20" s="1228"/>
      <c r="I20" s="1254"/>
      <c r="J20" s="1259"/>
      <c r="K20" s="1259"/>
      <c r="L20" s="1254"/>
    </row>
    <row r="21" spans="1:17">
      <c r="A21" s="679">
        <f>+A20+1</f>
        <v>9</v>
      </c>
      <c r="B21" s="852" t="s">
        <v>682</v>
      </c>
      <c r="C21" s="1246" t="s">
        <v>900</v>
      </c>
      <c r="D21" s="852"/>
      <c r="E21" s="679">
        <f>IF(E20=0,0,E18*E19/(E19+E20))</f>
        <v>0</v>
      </c>
      <c r="F21" s="1235"/>
      <c r="I21" s="1260"/>
      <c r="J21" s="1260"/>
      <c r="K21" s="1258"/>
      <c r="L21" s="1260"/>
    </row>
    <row r="22" spans="1:17">
      <c r="A22" s="679">
        <f>+A21+1</f>
        <v>10</v>
      </c>
      <c r="B22" s="852" t="s">
        <v>822</v>
      </c>
      <c r="C22" s="1246" t="s">
        <v>899</v>
      </c>
      <c r="D22" s="852"/>
      <c r="E22" s="1220">
        <f>+D36</f>
        <v>0</v>
      </c>
      <c r="F22" s="852"/>
      <c r="I22" s="1252"/>
      <c r="J22" s="1253"/>
      <c r="K22" s="1256"/>
      <c r="L22" s="1253"/>
    </row>
    <row r="23" spans="1:17">
      <c r="A23" s="679"/>
      <c r="B23" s="852" t="s">
        <v>912</v>
      </c>
      <c r="C23" s="852"/>
      <c r="D23" s="852"/>
      <c r="E23" s="679"/>
      <c r="F23" s="852"/>
      <c r="I23" s="1252"/>
      <c r="J23" s="1253"/>
      <c r="K23" s="1256"/>
      <c r="L23" s="1261"/>
    </row>
    <row r="24" spans="1:17">
      <c r="K24" s="1262"/>
      <c r="L24" s="1261"/>
    </row>
    <row r="25" spans="1:17">
      <c r="B25" t="s">
        <v>837</v>
      </c>
      <c r="D25" s="1229" t="s">
        <v>117</v>
      </c>
      <c r="E25" s="1232" t="s">
        <v>757</v>
      </c>
      <c r="F25" s="1233" t="s">
        <v>21</v>
      </c>
      <c r="G25" s="1068"/>
      <c r="H25" s="1068"/>
      <c r="K25" s="1262"/>
      <c r="L25" s="1253"/>
    </row>
    <row r="26" spans="1:17">
      <c r="F26" s="1068"/>
      <c r="G26" s="1068"/>
      <c r="H26" s="1068"/>
      <c r="J26" s="1253"/>
      <c r="K26" s="1256"/>
      <c r="L26" s="1253"/>
    </row>
    <row r="27" spans="1:17">
      <c r="A27" s="679">
        <f>+A22+1</f>
        <v>11</v>
      </c>
      <c r="B27" s="852" t="s">
        <v>935</v>
      </c>
      <c r="C27" s="1228"/>
      <c r="D27" s="1065"/>
      <c r="E27" s="1245">
        <v>0</v>
      </c>
      <c r="F27" s="1220">
        <f>+D27+E27</f>
        <v>0</v>
      </c>
      <c r="G27" s="1068"/>
      <c r="H27" s="1068"/>
      <c r="J27" s="1253"/>
      <c r="K27" s="1256"/>
      <c r="L27" s="1261"/>
    </row>
    <row r="28" spans="1:17">
      <c r="A28" s="679">
        <f>+A27+1</f>
        <v>12</v>
      </c>
      <c r="B28" t="s">
        <v>683</v>
      </c>
      <c r="C28" t="s">
        <v>921</v>
      </c>
      <c r="D28" s="1245"/>
      <c r="E28" s="1245">
        <v>0</v>
      </c>
      <c r="F28" s="1220">
        <f>+D28+E28</f>
        <v>0</v>
      </c>
      <c r="G28" s="1068"/>
      <c r="H28" s="1068"/>
      <c r="K28" s="1262"/>
      <c r="L28" s="1261"/>
    </row>
    <row r="29" spans="1:17">
      <c r="A29" s="1067">
        <f>+A28+1</f>
        <v>13</v>
      </c>
      <c r="B29" t="s">
        <v>919</v>
      </c>
      <c r="C29" t="s">
        <v>952</v>
      </c>
      <c r="D29" s="1245"/>
      <c r="E29" s="1245">
        <v>0</v>
      </c>
      <c r="F29" s="1220">
        <f>+D29+E29</f>
        <v>0</v>
      </c>
      <c r="G29" s="1068"/>
      <c r="H29" s="1068"/>
      <c r="K29" s="1262"/>
      <c r="L29" s="1253"/>
    </row>
    <row r="30" spans="1:17">
      <c r="A30" s="679">
        <f>+A29+1</f>
        <v>14</v>
      </c>
      <c r="B30" t="s">
        <v>920</v>
      </c>
      <c r="D30" s="1247">
        <f>SUM(D27:D29)</f>
        <v>0</v>
      </c>
      <c r="E30" s="1247">
        <f>SUM(E27:E29)</f>
        <v>0</v>
      </c>
      <c r="F30" s="1247">
        <f>SUM(F27:F29)</f>
        <v>0</v>
      </c>
      <c r="G30" s="1068"/>
      <c r="H30" s="1068"/>
      <c r="K30" s="1262"/>
      <c r="L30" s="1253"/>
    </row>
    <row r="31" spans="1:17">
      <c r="D31" s="679"/>
      <c r="H31" s="1068"/>
      <c r="J31" s="1253"/>
      <c r="K31" s="1256"/>
      <c r="L31" s="1253"/>
    </row>
    <row r="32" spans="1:17">
      <c r="D32" s="1228"/>
      <c r="J32" s="1253"/>
      <c r="K32" s="1256"/>
      <c r="L32" s="1263"/>
    </row>
    <row r="33" spans="1:11">
      <c r="B33" s="1231" t="s">
        <v>823</v>
      </c>
      <c r="C33" s="1229" t="s">
        <v>43</v>
      </c>
      <c r="D33" s="1229" t="s">
        <v>770</v>
      </c>
      <c r="E33" s="1230" t="s">
        <v>764</v>
      </c>
      <c r="F33" s="1229" t="s">
        <v>117</v>
      </c>
      <c r="G33" s="1229" t="s">
        <v>771</v>
      </c>
    </row>
    <row r="35" spans="1:11">
      <c r="A35" s="679">
        <f>+A30+1</f>
        <v>15</v>
      </c>
      <c r="B35" t="s">
        <v>898</v>
      </c>
      <c r="C35" s="1245">
        <f>+E61</f>
        <v>0</v>
      </c>
      <c r="D35" s="1245"/>
      <c r="E35" s="1245"/>
      <c r="F35" s="1245"/>
      <c r="G35" s="1245"/>
      <c r="K35" s="1264"/>
    </row>
    <row r="36" spans="1:11">
      <c r="A36" s="1067">
        <f>+A35+1</f>
        <v>16</v>
      </c>
      <c r="B36" t="s">
        <v>897</v>
      </c>
      <c r="C36" s="1245"/>
      <c r="D36" s="1245">
        <f>+E62</f>
        <v>0</v>
      </c>
      <c r="E36" s="1245"/>
      <c r="F36" s="1245"/>
      <c r="G36" s="1245"/>
    </row>
    <row r="37" spans="1:11">
      <c r="A37" s="1067">
        <f>+A36+1</f>
        <v>17</v>
      </c>
      <c r="B37" s="1246" t="s">
        <v>896</v>
      </c>
      <c r="C37" s="1245"/>
      <c r="D37" s="1245"/>
      <c r="E37" s="1245">
        <v>0</v>
      </c>
      <c r="F37" s="1245"/>
      <c r="G37" s="1245"/>
    </row>
    <row r="38" spans="1:11">
      <c r="A38" s="1067" t="s">
        <v>932</v>
      </c>
      <c r="B38" s="1065" t="s">
        <v>684</v>
      </c>
      <c r="C38" s="1245"/>
      <c r="D38" s="1245"/>
      <c r="E38" s="1245"/>
      <c r="F38" s="1245">
        <v>0</v>
      </c>
      <c r="G38" s="1245"/>
      <c r="K38" s="1265"/>
    </row>
    <row r="39" spans="1:11">
      <c r="A39" s="1067" t="s">
        <v>933</v>
      </c>
      <c r="B39" s="1065"/>
      <c r="C39" s="1245"/>
      <c r="D39" s="1245"/>
      <c r="E39" s="1245"/>
      <c r="F39" s="1245"/>
      <c r="G39" s="1245"/>
    </row>
    <row r="40" spans="1:11">
      <c r="A40" s="1067" t="s">
        <v>934</v>
      </c>
      <c r="B40" s="1065"/>
      <c r="C40" s="1245"/>
      <c r="D40" s="1245"/>
      <c r="E40" s="1245"/>
      <c r="F40" s="1245"/>
      <c r="G40" s="1245"/>
    </row>
    <row r="41" spans="1:11">
      <c r="A41" s="1067" t="s">
        <v>685</v>
      </c>
      <c r="B41" s="1065"/>
      <c r="C41" s="1245"/>
      <c r="D41" s="1245"/>
      <c r="E41" s="1245"/>
      <c r="F41" s="1245"/>
      <c r="G41" s="1245"/>
    </row>
    <row r="42" spans="1:11">
      <c r="A42" s="1067" t="s">
        <v>382</v>
      </c>
      <c r="B42" s="1065"/>
      <c r="C42" s="1245"/>
      <c r="D42" s="1245"/>
      <c r="E42" s="1245"/>
      <c r="F42" s="1245"/>
      <c r="G42" s="1245"/>
    </row>
    <row r="43" spans="1:11" ht="15.75" thickBot="1">
      <c r="A43" s="1067">
        <f>+A37+2</f>
        <v>19</v>
      </c>
      <c r="B43" t="s">
        <v>836</v>
      </c>
      <c r="C43" s="1248">
        <f>SUM(C35:C42)</f>
        <v>0</v>
      </c>
      <c r="D43" s="1248">
        <f>SUM(D35:D42)</f>
        <v>0</v>
      </c>
      <c r="E43" s="1248">
        <f>SUM(E35:E42)</f>
        <v>0</v>
      </c>
      <c r="F43" s="1248">
        <f>SUM(F35:F42)</f>
        <v>0</v>
      </c>
      <c r="G43" s="679"/>
    </row>
    <row r="44" spans="1:11" ht="15.75" thickTop="1">
      <c r="A44" s="1067">
        <f>+A43+1</f>
        <v>20</v>
      </c>
      <c r="B44" t="s">
        <v>772</v>
      </c>
      <c r="C44" s="679">
        <f>+C43</f>
        <v>0</v>
      </c>
      <c r="D44" s="679"/>
    </row>
    <row r="45" spans="1:11">
      <c r="A45" s="1067">
        <f>+A44+1</f>
        <v>21</v>
      </c>
      <c r="B45" t="s">
        <v>824</v>
      </c>
      <c r="C45" s="679">
        <f>+D43</f>
        <v>0</v>
      </c>
      <c r="D45" s="679"/>
    </row>
    <row r="46" spans="1:11">
      <c r="A46" s="1067">
        <f>+A45+1</f>
        <v>22</v>
      </c>
      <c r="B46" t="s">
        <v>773</v>
      </c>
      <c r="C46" s="679">
        <f>+F43</f>
        <v>0</v>
      </c>
      <c r="D46" s="679"/>
    </row>
    <row r="47" spans="1:11">
      <c r="A47" s="1067">
        <f>+A46+1</f>
        <v>23</v>
      </c>
      <c r="B47" t="s">
        <v>918</v>
      </c>
      <c r="C47" s="679">
        <f>+C44+C45+C46</f>
        <v>0</v>
      </c>
      <c r="D47" s="679"/>
    </row>
    <row r="48" spans="1:11">
      <c r="A48" s="1067"/>
      <c r="C48" s="679"/>
      <c r="D48" s="679"/>
    </row>
    <row r="49" spans="1:6">
      <c r="A49" s="1067"/>
    </row>
    <row r="50" spans="1:6">
      <c r="A50" s="1067">
        <f>+A47+1</f>
        <v>24</v>
      </c>
      <c r="B50" t="str">
        <f>+B12</f>
        <v>CEC Portion of O&amp;M</v>
      </c>
      <c r="C50" t="s">
        <v>914</v>
      </c>
      <c r="D50" s="1220">
        <f>+E12</f>
        <v>0</v>
      </c>
    </row>
    <row r="51" spans="1:6">
      <c r="A51" s="1067">
        <f>+A50+1</f>
        <v>25</v>
      </c>
      <c r="B51" t="str">
        <f>+B21</f>
        <v>CEC Portion of Property Tax</v>
      </c>
      <c r="C51" t="s">
        <v>915</v>
      </c>
      <c r="D51" s="1220">
        <f>+E21</f>
        <v>0</v>
      </c>
    </row>
    <row r="52" spans="1:6">
      <c r="A52" s="1067">
        <f>+A51+1</f>
        <v>26</v>
      </c>
      <c r="B52" t="s">
        <v>21</v>
      </c>
      <c r="C52" t="s">
        <v>916</v>
      </c>
      <c r="D52" s="679">
        <f>+D50+D51</f>
        <v>0</v>
      </c>
    </row>
    <row r="53" spans="1:6">
      <c r="A53" s="1067"/>
    </row>
    <row r="54" spans="1:6">
      <c r="A54" s="679">
        <f>+A52+1</f>
        <v>27</v>
      </c>
      <c r="B54" t="s">
        <v>839</v>
      </c>
      <c r="C54" t="s">
        <v>895</v>
      </c>
      <c r="D54" s="1220">
        <f>+E63</f>
        <v>0</v>
      </c>
    </row>
    <row r="55" spans="1:6">
      <c r="A55" s="679">
        <f>+A54+1</f>
        <v>28</v>
      </c>
      <c r="B55" t="s">
        <v>686</v>
      </c>
      <c r="C55" t="s">
        <v>917</v>
      </c>
      <c r="D55" s="679">
        <f>+D54-D52</f>
        <v>0</v>
      </c>
    </row>
    <row r="58" spans="1:6">
      <c r="A58" t="s">
        <v>180</v>
      </c>
    </row>
    <row r="59" spans="1:6">
      <c r="B59" s="1231" t="s">
        <v>663</v>
      </c>
      <c r="C59" s="1229" t="s">
        <v>894</v>
      </c>
      <c r="D59" s="1229" t="s">
        <v>117</v>
      </c>
      <c r="E59" s="1233" t="s">
        <v>757</v>
      </c>
      <c r="F59" s="1233" t="s">
        <v>21</v>
      </c>
    </row>
    <row r="60" spans="1:6">
      <c r="F60" s="1068"/>
    </row>
    <row r="61" spans="1:6">
      <c r="A61" s="1269" t="s">
        <v>893</v>
      </c>
      <c r="B61" s="852" t="s">
        <v>767</v>
      </c>
      <c r="C61" s="852" t="s">
        <v>907</v>
      </c>
      <c r="D61" s="1245">
        <v>0</v>
      </c>
      <c r="E61" s="1245">
        <v>0</v>
      </c>
      <c r="F61" s="1220">
        <f>+D61+E61</f>
        <v>0</v>
      </c>
    </row>
    <row r="62" spans="1:6">
      <c r="A62" s="1269" t="s">
        <v>892</v>
      </c>
      <c r="B62" t="s">
        <v>891</v>
      </c>
      <c r="C62" s="852" t="s">
        <v>913</v>
      </c>
      <c r="D62" s="1245">
        <v>0</v>
      </c>
      <c r="E62" s="1245">
        <v>0</v>
      </c>
      <c r="F62" s="1220">
        <f>+D62+E62</f>
        <v>0</v>
      </c>
    </row>
    <row r="63" spans="1:6">
      <c r="A63" s="1269" t="s">
        <v>890</v>
      </c>
      <c r="B63" t="s">
        <v>840</v>
      </c>
      <c r="C63" s="852" t="str">
        <f>+C61</f>
        <v>Page 115, col (k)</v>
      </c>
      <c r="D63" s="1245">
        <v>0</v>
      </c>
      <c r="E63" s="1245">
        <v>0</v>
      </c>
      <c r="F63" s="1220">
        <f>+D63+E63</f>
        <v>0</v>
      </c>
    </row>
    <row r="64" spans="1:6">
      <c r="A64" s="1269" t="s">
        <v>889</v>
      </c>
      <c r="B64" t="s">
        <v>910</v>
      </c>
      <c r="C64" s="1253" t="s">
        <v>909</v>
      </c>
      <c r="D64" s="1268">
        <v>0</v>
      </c>
      <c r="E64" s="1268">
        <v>0</v>
      </c>
      <c r="F64" s="1220">
        <f>+D64+E64</f>
        <v>0</v>
      </c>
    </row>
    <row r="65" spans="1:6">
      <c r="A65" s="1269" t="s">
        <v>888</v>
      </c>
      <c r="B65" t="s">
        <v>887</v>
      </c>
      <c r="C65" s="1253" t="s">
        <v>908</v>
      </c>
      <c r="D65" s="1268">
        <v>0</v>
      </c>
      <c r="E65" s="1268">
        <v>0</v>
      </c>
      <c r="F65" s="1220">
        <f>+D65+E65</f>
        <v>0</v>
      </c>
    </row>
    <row r="66" spans="1:6">
      <c r="A66" s="1267"/>
      <c r="B66" s="1068"/>
      <c r="C66" s="1246"/>
      <c r="D66" s="1266"/>
      <c r="E66" s="1266"/>
      <c r="F66" s="1220"/>
    </row>
    <row r="67" spans="1:6">
      <c r="C67" s="852"/>
    </row>
  </sheetData>
  <mergeCells count="2">
    <mergeCell ref="A2:E2"/>
    <mergeCell ref="A3:E3"/>
  </mergeCells>
  <pageMargins left="0.25" right="0.25" top="0.75" bottom="0.75" header="0.3" footer="0.3"/>
  <pageSetup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AP31"/>
  <sheetViews>
    <sheetView topLeftCell="K1" zoomScaleNormal="100" workbookViewId="0">
      <selection activeCell="AO8" sqref="AO8"/>
    </sheetView>
  </sheetViews>
  <sheetFormatPr defaultColWidth="7.109375" defaultRowHeight="11.25"/>
  <cols>
    <col min="1" max="2" width="2.5546875" style="1386" customWidth="1"/>
    <col min="3" max="3" width="24" style="1366" customWidth="1"/>
    <col min="4" max="4" width="8.5546875" style="1392" customWidth="1"/>
    <col min="5" max="5" width="1.21875" style="1393" customWidth="1"/>
    <col min="6" max="6" width="8.21875" style="1394" customWidth="1"/>
    <col min="7" max="7" width="1.21875" style="1395" customWidth="1"/>
    <col min="8" max="8" width="8.21875" style="1392" customWidth="1"/>
    <col min="9" max="9" width="1.21875" style="1395" customWidth="1"/>
    <col min="10" max="10" width="7" style="1366" customWidth="1"/>
    <col min="11" max="11" width="1.21875" style="1386" customWidth="1"/>
    <col min="12" max="12" width="8.77734375" style="1392" customWidth="1"/>
    <col min="13" max="13" width="1.21875" style="1386" customWidth="1"/>
    <col min="14" max="14" width="7.77734375" style="1366" customWidth="1"/>
    <col min="15" max="15" width="1.77734375" style="1366" bestFit="1" customWidth="1"/>
    <col min="16" max="16" width="9.21875" style="1366" customWidth="1"/>
    <col min="17" max="17" width="7.109375" style="1386" customWidth="1"/>
    <col min="18" max="18" width="7.21875" style="1386" bestFit="1" customWidth="1"/>
    <col min="19" max="19" width="8.5546875" style="1386" customWidth="1"/>
    <col min="20" max="20" width="7.109375" style="1386" customWidth="1"/>
    <col min="21" max="21" width="9.21875" style="1386" customWidth="1"/>
    <col min="22" max="23" width="9" style="1386" customWidth="1"/>
    <col min="24" max="24" width="8.109375" style="1386" customWidth="1"/>
    <col min="25" max="25" width="7.5546875" style="1386" bestFit="1" customWidth="1"/>
    <col min="26" max="27" width="7.77734375" style="1386" bestFit="1" customWidth="1"/>
    <col min="28" max="28" width="7.5546875" style="1386" bestFit="1" customWidth="1"/>
    <col min="29" max="29" width="7.109375" style="1386" customWidth="1"/>
    <col min="30" max="30" width="10" style="1386" customWidth="1"/>
    <col min="31" max="31" width="1.44140625" style="1386" customWidth="1"/>
    <col min="32" max="32" width="9.21875" style="1394" customWidth="1"/>
    <col min="33" max="33" width="1.21875" style="1386" customWidth="1"/>
    <col min="34" max="34" width="11.21875" style="1366" customWidth="1"/>
    <col min="35" max="35" width="1.21875" style="1386" customWidth="1"/>
    <col min="36" max="36" width="9.21875" style="1366" customWidth="1"/>
    <col min="37" max="37" width="1.21875" style="1386" customWidth="1"/>
    <col min="38" max="38" width="10.5546875" style="1366" bestFit="1" customWidth="1"/>
    <col min="39" max="39" width="1.21875" style="1386" customWidth="1"/>
    <col min="40" max="40" width="9.77734375" style="1391" customWidth="1"/>
    <col min="41" max="41" width="1.21875" style="1386" customWidth="1"/>
    <col min="42" max="42" width="10.77734375" style="1391" bestFit="1" customWidth="1"/>
    <col min="43" max="16384" width="7.109375" style="1366"/>
  </cols>
  <sheetData>
    <row r="1" spans="1:42" ht="15">
      <c r="A1" s="1246" t="s">
        <v>1072</v>
      </c>
      <c r="B1" s="1246"/>
      <c r="C1" s="1246"/>
      <c r="D1" s="1246"/>
      <c r="Q1" s="1246" t="s">
        <v>1072</v>
      </c>
      <c r="AD1" s="1246" t="s">
        <v>1072</v>
      </c>
    </row>
    <row r="2" spans="1:42" ht="15.75">
      <c r="A2" s="1246" t="s">
        <v>1069</v>
      </c>
      <c r="B2" s="1246"/>
      <c r="C2" s="1246"/>
      <c r="D2" s="1246"/>
      <c r="Q2" s="1246" t="s">
        <v>1069</v>
      </c>
      <c r="AD2" s="1246" t="s">
        <v>1069</v>
      </c>
    </row>
    <row r="4" spans="1:42" s="1352" customFormat="1" ht="12">
      <c r="C4" s="1352" t="s">
        <v>461</v>
      </c>
      <c r="D4" s="1353" t="s">
        <v>593</v>
      </c>
      <c r="F4" s="1354" t="s">
        <v>841</v>
      </c>
      <c r="G4" s="1353"/>
      <c r="H4" s="1353" t="s">
        <v>591</v>
      </c>
      <c r="I4" s="1353"/>
      <c r="J4" s="1352" t="s">
        <v>842</v>
      </c>
      <c r="L4" s="1353" t="s">
        <v>589</v>
      </c>
      <c r="N4" s="1352" t="s">
        <v>588</v>
      </c>
      <c r="P4" s="1355" t="s">
        <v>587</v>
      </c>
      <c r="Q4" s="1355" t="s">
        <v>850</v>
      </c>
      <c r="R4" s="1355" t="s">
        <v>851</v>
      </c>
      <c r="S4" s="1355" t="s">
        <v>852</v>
      </c>
      <c r="T4" s="1355" t="s">
        <v>853</v>
      </c>
      <c r="U4" s="1355" t="s">
        <v>854</v>
      </c>
      <c r="V4" s="1355" t="s">
        <v>855</v>
      </c>
      <c r="W4" s="1355" t="s">
        <v>856</v>
      </c>
      <c r="X4" s="1355" t="s">
        <v>857</v>
      </c>
      <c r="Y4" s="1356" t="s">
        <v>858</v>
      </c>
      <c r="Z4" s="1357" t="s">
        <v>859</v>
      </c>
      <c r="AA4" s="1357" t="s">
        <v>860</v>
      </c>
      <c r="AB4" s="1352" t="s">
        <v>861</v>
      </c>
      <c r="AC4" s="1354" t="s">
        <v>862</v>
      </c>
      <c r="AD4" s="1352" t="s">
        <v>966</v>
      </c>
      <c r="AF4" s="1352" t="s">
        <v>967</v>
      </c>
      <c r="AH4" s="1352" t="s">
        <v>968</v>
      </c>
      <c r="AJ4" s="1352" t="s">
        <v>969</v>
      </c>
      <c r="AL4" s="1352" t="s">
        <v>970</v>
      </c>
      <c r="AN4" s="1352" t="s">
        <v>971</v>
      </c>
    </row>
    <row r="5" spans="1:42" s="1359" customFormat="1" ht="32.25" customHeight="1">
      <c r="A5" s="1629" t="s">
        <v>17</v>
      </c>
      <c r="B5" s="1629"/>
      <c r="C5" s="1629" t="s">
        <v>395</v>
      </c>
      <c r="D5" s="1629" t="s">
        <v>843</v>
      </c>
      <c r="E5" s="1629" t="s">
        <v>844</v>
      </c>
      <c r="F5" s="1629" t="s">
        <v>845</v>
      </c>
      <c r="G5" s="1629" t="s">
        <v>66</v>
      </c>
      <c r="H5" s="1629" t="s">
        <v>846</v>
      </c>
      <c r="I5" s="1629" t="s">
        <v>847</v>
      </c>
      <c r="J5" s="1629" t="s">
        <v>848</v>
      </c>
      <c r="K5" s="1629" t="s">
        <v>66</v>
      </c>
      <c r="L5" s="1629" t="s">
        <v>849</v>
      </c>
      <c r="M5" s="1629" t="s">
        <v>847</v>
      </c>
      <c r="N5" s="1629" t="s">
        <v>972</v>
      </c>
      <c r="O5" s="1629" t="s">
        <v>66</v>
      </c>
      <c r="P5" s="1629" t="s">
        <v>973</v>
      </c>
      <c r="Q5" s="1358" t="s">
        <v>866</v>
      </c>
      <c r="R5" s="1358" t="s">
        <v>867</v>
      </c>
      <c r="S5" s="1358" t="s">
        <v>868</v>
      </c>
      <c r="T5" s="1358" t="s">
        <v>869</v>
      </c>
      <c r="U5" s="1358" t="s">
        <v>870</v>
      </c>
      <c r="V5" s="1358" t="s">
        <v>871</v>
      </c>
      <c r="W5" s="1358" t="s">
        <v>870</v>
      </c>
      <c r="X5" s="1358" t="s">
        <v>872</v>
      </c>
      <c r="Y5" s="1358" t="s">
        <v>873</v>
      </c>
      <c r="Z5" s="1358" t="s">
        <v>874</v>
      </c>
      <c r="AA5" s="1358" t="s">
        <v>875</v>
      </c>
      <c r="AB5" s="1358" t="s">
        <v>876</v>
      </c>
      <c r="AC5" s="1358" t="s">
        <v>866</v>
      </c>
      <c r="AD5" s="1629" t="s">
        <v>974</v>
      </c>
      <c r="AE5" s="1629" t="s">
        <v>847</v>
      </c>
      <c r="AF5" s="1629" t="s">
        <v>975</v>
      </c>
      <c r="AG5" s="1629" t="s">
        <v>847</v>
      </c>
      <c r="AH5" s="1629" t="s">
        <v>976</v>
      </c>
      <c r="AI5" s="1629" t="s">
        <v>66</v>
      </c>
      <c r="AJ5" s="1629" t="s">
        <v>977</v>
      </c>
      <c r="AK5" s="1629"/>
      <c r="AL5" s="1629" t="s">
        <v>978</v>
      </c>
      <c r="AM5" s="1629"/>
      <c r="AN5" s="1629" t="s">
        <v>979</v>
      </c>
    </row>
    <row r="6" spans="1:42" s="1359" customFormat="1">
      <c r="A6" s="1629"/>
      <c r="B6" s="1629"/>
      <c r="C6" s="1629"/>
      <c r="D6" s="1629"/>
      <c r="E6" s="1629"/>
      <c r="F6" s="1629"/>
      <c r="G6" s="1629"/>
      <c r="H6" s="1629"/>
      <c r="I6" s="1629"/>
      <c r="J6" s="1629"/>
      <c r="K6" s="1629"/>
      <c r="L6" s="1629"/>
      <c r="M6" s="1629"/>
      <c r="N6" s="1629"/>
      <c r="O6" s="1629"/>
      <c r="P6" s="1629"/>
      <c r="Q6" s="1360" t="s">
        <v>1097</v>
      </c>
      <c r="R6" s="1360" t="s">
        <v>1108</v>
      </c>
      <c r="S6" s="1360" t="s">
        <v>1108</v>
      </c>
      <c r="T6" s="1360" t="s">
        <v>1108</v>
      </c>
      <c r="U6" s="1360" t="s">
        <v>1108</v>
      </c>
      <c r="V6" s="1360" t="s">
        <v>1108</v>
      </c>
      <c r="W6" s="1360" t="s">
        <v>1108</v>
      </c>
      <c r="X6" s="1360" t="s">
        <v>1108</v>
      </c>
      <c r="Y6" s="1360" t="s">
        <v>1108</v>
      </c>
      <c r="Z6" s="1360" t="s">
        <v>1108</v>
      </c>
      <c r="AA6" s="1360" t="s">
        <v>1108</v>
      </c>
      <c r="AB6" s="1360" t="s">
        <v>1108</v>
      </c>
      <c r="AC6" s="1360" t="s">
        <v>1108</v>
      </c>
      <c r="AD6" s="1629"/>
      <c r="AE6" s="1629"/>
      <c r="AF6" s="1629"/>
      <c r="AG6" s="1629"/>
      <c r="AH6" s="1629"/>
      <c r="AI6" s="1629"/>
      <c r="AJ6" s="1629"/>
      <c r="AK6" s="1629"/>
      <c r="AL6" s="1629"/>
      <c r="AM6" s="1629"/>
      <c r="AN6" s="1629"/>
    </row>
    <row r="7" spans="1:42">
      <c r="A7" s="1361">
        <v>1</v>
      </c>
      <c r="B7" s="1361"/>
      <c r="C7" s="1488" t="s">
        <v>980</v>
      </c>
      <c r="D7" s="1489">
        <v>2469088.4700000002</v>
      </c>
      <c r="E7" s="1363"/>
      <c r="F7" s="1489">
        <v>60</v>
      </c>
      <c r="G7" s="1363"/>
      <c r="H7" s="1362">
        <f t="shared" ref="H7:H16" si="0">IFERROR(D7/F7,0)</f>
        <v>41151.474500000004</v>
      </c>
      <c r="I7" s="1363"/>
      <c r="J7" s="1489">
        <v>12</v>
      </c>
      <c r="K7" s="1363"/>
      <c r="L7" s="1362">
        <f t="shared" ref="L7:L16" si="1">IFERROR(H7*J7,0)</f>
        <v>493817.69400000002</v>
      </c>
      <c r="M7" s="1364"/>
      <c r="N7" s="1423">
        <v>1</v>
      </c>
      <c r="O7" s="1363"/>
      <c r="P7" s="1362">
        <f t="shared" ref="P7:P16" si="2">IFERROR(L7*N7,0)</f>
        <v>493817.69400000002</v>
      </c>
      <c r="Q7" s="1489">
        <v>1481453.3059999999</v>
      </c>
      <c r="R7" s="1490">
        <f>Q7-$H$7</f>
        <v>1440301.8314999999</v>
      </c>
      <c r="S7" s="1490">
        <f t="shared" ref="S7:AB7" si="3">R7-$H$7</f>
        <v>1399150.3569999998</v>
      </c>
      <c r="T7" s="1490">
        <f t="shared" si="3"/>
        <v>1357998.8824999998</v>
      </c>
      <c r="U7" s="1490">
        <f t="shared" si="3"/>
        <v>1316847.4079999998</v>
      </c>
      <c r="V7" s="1490">
        <f t="shared" si="3"/>
        <v>1275695.9334999998</v>
      </c>
      <c r="W7" s="1490">
        <f>V7-$H$7</f>
        <v>1234544.4589999998</v>
      </c>
      <c r="X7" s="1490">
        <f t="shared" si="3"/>
        <v>1193392.9844999998</v>
      </c>
      <c r="Y7" s="1490">
        <f t="shared" si="3"/>
        <v>1152241.5099999998</v>
      </c>
      <c r="Z7" s="1490">
        <f>Y7-$H$7</f>
        <v>1111090.0354999998</v>
      </c>
      <c r="AA7" s="1490">
        <f t="shared" si="3"/>
        <v>1069938.5609999998</v>
      </c>
      <c r="AB7" s="1490">
        <f t="shared" si="3"/>
        <v>1028787.0864999997</v>
      </c>
      <c r="AC7" s="1490">
        <f>AB7-$H$7</f>
        <v>987635.61199999973</v>
      </c>
      <c r="AD7" s="1362">
        <f t="shared" ref="AD7:AD16" si="4">SUM(Q7:AC7)/13</f>
        <v>1234544.4589999998</v>
      </c>
      <c r="AE7" s="1363"/>
      <c r="AF7" s="1423">
        <v>1</v>
      </c>
      <c r="AG7" s="1363"/>
      <c r="AH7" s="1365">
        <f t="shared" ref="AH7:AH16" si="5">N7</f>
        <v>1</v>
      </c>
      <c r="AI7" s="1361"/>
      <c r="AJ7" s="1511">
        <f t="shared" ref="AJ7:AJ16" si="6">AD7*AH7</f>
        <v>1234544.4589999998</v>
      </c>
      <c r="AK7" s="1361"/>
      <c r="AL7" s="1491">
        <v>182310</v>
      </c>
      <c r="AM7" s="1502"/>
      <c r="AN7" s="1491" t="s">
        <v>1093</v>
      </c>
      <c r="AO7" s="1366"/>
      <c r="AP7" s="1366"/>
    </row>
    <row r="8" spans="1:42">
      <c r="A8" s="1367" t="s">
        <v>313</v>
      </c>
      <c r="B8" s="1367"/>
      <c r="C8" s="1421" t="s">
        <v>1085</v>
      </c>
      <c r="D8" s="1501">
        <v>6843031.4000000004</v>
      </c>
      <c r="E8" s="1369"/>
      <c r="F8" s="1501">
        <v>57</v>
      </c>
      <c r="G8" s="1369"/>
      <c r="H8" s="1368">
        <f t="shared" si="0"/>
        <v>120053.18245614036</v>
      </c>
      <c r="I8" s="1367"/>
      <c r="J8" s="1501">
        <v>12</v>
      </c>
      <c r="K8" s="1367"/>
      <c r="L8" s="1362">
        <f t="shared" si="1"/>
        <v>1440638.1894736844</v>
      </c>
      <c r="M8" s="1371"/>
      <c r="N8" s="1423">
        <v>1</v>
      </c>
      <c r="O8" s="1367"/>
      <c r="P8" s="1368">
        <f t="shared" si="2"/>
        <v>1440638.1894736844</v>
      </c>
      <c r="Q8" s="1515">
        <v>4321914.5705263149</v>
      </c>
      <c r="R8" s="1490">
        <f>Q8-$H$8</f>
        <v>4201861.3880701745</v>
      </c>
      <c r="S8" s="1490">
        <f t="shared" ref="S8:AB8" si="7">R8-$H$8</f>
        <v>4081808.2056140341</v>
      </c>
      <c r="T8" s="1490">
        <f t="shared" si="7"/>
        <v>3961755.0231578937</v>
      </c>
      <c r="U8" s="1490">
        <f t="shared" si="7"/>
        <v>3841701.8407017533</v>
      </c>
      <c r="V8" s="1490">
        <f t="shared" si="7"/>
        <v>3721648.6582456129</v>
      </c>
      <c r="W8" s="1490">
        <f t="shared" si="7"/>
        <v>3601595.4757894725</v>
      </c>
      <c r="X8" s="1490">
        <f t="shared" si="7"/>
        <v>3481542.2933333321</v>
      </c>
      <c r="Y8" s="1490">
        <f t="shared" si="7"/>
        <v>3361489.1108771916</v>
      </c>
      <c r="Z8" s="1490">
        <f t="shared" si="7"/>
        <v>3241435.9284210512</v>
      </c>
      <c r="AA8" s="1490">
        <f t="shared" si="7"/>
        <v>3121382.7459649108</v>
      </c>
      <c r="AB8" s="1490">
        <f t="shared" si="7"/>
        <v>3001329.5635087704</v>
      </c>
      <c r="AC8" s="1490">
        <f>AB8-$H$8</f>
        <v>2881276.38105263</v>
      </c>
      <c r="AD8" s="1368">
        <f t="shared" si="4"/>
        <v>3601595.4757894729</v>
      </c>
      <c r="AE8" s="1367"/>
      <c r="AF8" s="1423">
        <v>1</v>
      </c>
      <c r="AG8" s="1367"/>
      <c r="AH8" s="1374">
        <f t="shared" si="5"/>
        <v>1</v>
      </c>
      <c r="AI8" s="1367"/>
      <c r="AJ8" s="1434">
        <f t="shared" si="6"/>
        <v>3601595.4757894729</v>
      </c>
      <c r="AK8" s="1367"/>
      <c r="AL8" s="1503">
        <v>182312</v>
      </c>
      <c r="AM8" s="1504"/>
      <c r="AN8" s="1503" t="s">
        <v>1094</v>
      </c>
      <c r="AO8" s="1366"/>
      <c r="AP8" s="1366"/>
    </row>
    <row r="9" spans="1:42">
      <c r="A9" s="1367" t="s">
        <v>881</v>
      </c>
      <c r="B9" s="1367"/>
      <c r="C9" s="1421"/>
      <c r="D9" s="1370">
        <v>0</v>
      </c>
      <c r="E9" s="1369"/>
      <c r="F9" s="1370">
        <v>0</v>
      </c>
      <c r="G9" s="1369"/>
      <c r="H9" s="1368">
        <f t="shared" si="0"/>
        <v>0</v>
      </c>
      <c r="I9" s="1367"/>
      <c r="J9" s="1370"/>
      <c r="K9" s="1367"/>
      <c r="L9" s="1362">
        <f t="shared" si="1"/>
        <v>0</v>
      </c>
      <c r="M9" s="1371"/>
      <c r="N9" s="1412"/>
      <c r="O9" s="1367"/>
      <c r="P9" s="1368">
        <f t="shared" si="2"/>
        <v>0</v>
      </c>
      <c r="Q9" s="1372"/>
      <c r="R9" s="1372"/>
      <c r="S9" s="1372"/>
      <c r="T9" s="1372"/>
      <c r="U9" s="1372"/>
      <c r="V9" s="1372"/>
      <c r="W9" s="1372"/>
      <c r="X9" s="1372"/>
      <c r="Y9" s="1372"/>
      <c r="Z9" s="1372"/>
      <c r="AA9" s="1372"/>
      <c r="AB9" s="1372"/>
      <c r="AC9" s="1372"/>
      <c r="AD9" s="1373">
        <f t="shared" si="4"/>
        <v>0</v>
      </c>
      <c r="AE9" s="1367"/>
      <c r="AF9" s="1412">
        <v>0</v>
      </c>
      <c r="AG9" s="1367"/>
      <c r="AH9" s="1374">
        <f t="shared" si="5"/>
        <v>0</v>
      </c>
      <c r="AI9" s="1367"/>
      <c r="AJ9" s="1375">
        <f t="shared" si="6"/>
        <v>0</v>
      </c>
      <c r="AK9" s="1367"/>
      <c r="AL9" s="1426"/>
      <c r="AM9" s="1367"/>
      <c r="AN9" s="1426"/>
      <c r="AO9" s="1366"/>
      <c r="AP9" s="1366"/>
    </row>
    <row r="10" spans="1:42">
      <c r="A10" s="1367" t="s">
        <v>882</v>
      </c>
      <c r="B10" s="1367"/>
      <c r="C10" s="1421"/>
      <c r="D10" s="1370">
        <v>0</v>
      </c>
      <c r="E10" s="1369"/>
      <c r="F10" s="1370">
        <v>0</v>
      </c>
      <c r="G10" s="1369"/>
      <c r="H10" s="1368">
        <f t="shared" si="0"/>
        <v>0</v>
      </c>
      <c r="I10" s="1367"/>
      <c r="J10" s="1370"/>
      <c r="K10" s="1367"/>
      <c r="L10" s="1362">
        <f t="shared" si="1"/>
        <v>0</v>
      </c>
      <c r="M10" s="1371"/>
      <c r="N10" s="1412"/>
      <c r="O10" s="1367"/>
      <c r="P10" s="1368">
        <f t="shared" si="2"/>
        <v>0</v>
      </c>
      <c r="Q10" s="1372"/>
      <c r="R10" s="1372"/>
      <c r="S10" s="1372"/>
      <c r="T10" s="1372"/>
      <c r="U10" s="1372"/>
      <c r="V10" s="1372"/>
      <c r="W10" s="1372"/>
      <c r="X10" s="1372"/>
      <c r="Y10" s="1372"/>
      <c r="Z10" s="1372"/>
      <c r="AA10" s="1372"/>
      <c r="AB10" s="1372"/>
      <c r="AC10" s="1372"/>
      <c r="AD10" s="1373">
        <f t="shared" si="4"/>
        <v>0</v>
      </c>
      <c r="AE10" s="1367"/>
      <c r="AF10" s="1412">
        <v>0</v>
      </c>
      <c r="AG10" s="1367"/>
      <c r="AH10" s="1374">
        <f t="shared" si="5"/>
        <v>0</v>
      </c>
      <c r="AI10" s="1367"/>
      <c r="AJ10" s="1375">
        <f t="shared" si="6"/>
        <v>0</v>
      </c>
      <c r="AK10" s="1367"/>
      <c r="AL10" s="1426"/>
      <c r="AM10" s="1367"/>
      <c r="AN10" s="1426"/>
      <c r="AO10" s="1366"/>
      <c r="AP10" s="1366"/>
    </row>
    <row r="11" spans="1:42">
      <c r="A11" s="1367" t="s">
        <v>382</v>
      </c>
      <c r="B11" s="1367"/>
      <c r="C11" s="1421"/>
      <c r="D11" s="1370">
        <v>0</v>
      </c>
      <c r="E11" s="1369"/>
      <c r="F11" s="1370">
        <v>0</v>
      </c>
      <c r="G11" s="1369"/>
      <c r="H11" s="1368">
        <f t="shared" si="0"/>
        <v>0</v>
      </c>
      <c r="I11" s="1367"/>
      <c r="J11" s="1370"/>
      <c r="K11" s="1367"/>
      <c r="L11" s="1362">
        <f t="shared" si="1"/>
        <v>0</v>
      </c>
      <c r="M11" s="1371"/>
      <c r="N11" s="1412"/>
      <c r="O11" s="1367"/>
      <c r="P11" s="1368">
        <f t="shared" si="2"/>
        <v>0</v>
      </c>
      <c r="Q11" s="1372"/>
      <c r="R11" s="1372"/>
      <c r="S11" s="1372"/>
      <c r="T11" s="1372"/>
      <c r="U11" s="1372"/>
      <c r="V11" s="1372"/>
      <c r="W11" s="1372"/>
      <c r="X11" s="1372"/>
      <c r="Y11" s="1372"/>
      <c r="Z11" s="1372"/>
      <c r="AA11" s="1372"/>
      <c r="AB11" s="1372"/>
      <c r="AC11" s="1372"/>
      <c r="AD11" s="1373">
        <f t="shared" si="4"/>
        <v>0</v>
      </c>
      <c r="AE11" s="1367"/>
      <c r="AF11" s="1412">
        <v>0</v>
      </c>
      <c r="AG11" s="1367"/>
      <c r="AH11" s="1374">
        <f t="shared" si="5"/>
        <v>0</v>
      </c>
      <c r="AI11" s="1367"/>
      <c r="AJ11" s="1375">
        <f t="shared" si="6"/>
        <v>0</v>
      </c>
      <c r="AK11" s="1367"/>
      <c r="AL11" s="1426"/>
      <c r="AM11" s="1367"/>
      <c r="AN11" s="1426"/>
      <c r="AO11" s="1366"/>
      <c r="AP11" s="1366"/>
    </row>
    <row r="12" spans="1:42">
      <c r="A12" s="1367" t="s">
        <v>382</v>
      </c>
      <c r="B12" s="1367"/>
      <c r="C12" s="1421"/>
      <c r="D12" s="1370">
        <v>0</v>
      </c>
      <c r="E12" s="1369"/>
      <c r="F12" s="1370">
        <v>0</v>
      </c>
      <c r="G12" s="1369"/>
      <c r="H12" s="1368">
        <f t="shared" si="0"/>
        <v>0</v>
      </c>
      <c r="I12" s="1367"/>
      <c r="J12" s="1370"/>
      <c r="K12" s="1367"/>
      <c r="L12" s="1362">
        <f t="shared" si="1"/>
        <v>0</v>
      </c>
      <c r="M12" s="1371"/>
      <c r="N12" s="1412"/>
      <c r="O12" s="1367"/>
      <c r="P12" s="1368">
        <f t="shared" si="2"/>
        <v>0</v>
      </c>
      <c r="Q12" s="1372"/>
      <c r="R12" s="1372"/>
      <c r="S12" s="1372"/>
      <c r="T12" s="1372"/>
      <c r="U12" s="1372"/>
      <c r="V12" s="1372"/>
      <c r="W12" s="1372"/>
      <c r="X12" s="1372"/>
      <c r="Y12" s="1372"/>
      <c r="Z12" s="1372"/>
      <c r="AA12" s="1372"/>
      <c r="AB12" s="1372"/>
      <c r="AC12" s="1372"/>
      <c r="AD12" s="1373">
        <f t="shared" si="4"/>
        <v>0</v>
      </c>
      <c r="AE12" s="1367"/>
      <c r="AF12" s="1412">
        <v>0</v>
      </c>
      <c r="AG12" s="1367"/>
      <c r="AH12" s="1374">
        <f t="shared" si="5"/>
        <v>0</v>
      </c>
      <c r="AI12" s="1367"/>
      <c r="AJ12" s="1375">
        <f t="shared" si="6"/>
        <v>0</v>
      </c>
      <c r="AK12" s="1367"/>
      <c r="AL12" s="1426"/>
      <c r="AM12" s="1367"/>
      <c r="AN12" s="1426"/>
      <c r="AO12" s="1366"/>
      <c r="AP12" s="1366"/>
    </row>
    <row r="13" spans="1:42">
      <c r="A13" s="1367" t="s">
        <v>382</v>
      </c>
      <c r="B13" s="1367"/>
      <c r="C13" s="1421"/>
      <c r="D13" s="1370">
        <v>0</v>
      </c>
      <c r="E13" s="1369"/>
      <c r="F13" s="1370">
        <v>0</v>
      </c>
      <c r="G13" s="1369"/>
      <c r="H13" s="1368">
        <f t="shared" si="0"/>
        <v>0</v>
      </c>
      <c r="I13" s="1367"/>
      <c r="J13" s="1370"/>
      <c r="K13" s="1367"/>
      <c r="L13" s="1362">
        <f t="shared" si="1"/>
        <v>0</v>
      </c>
      <c r="M13" s="1371"/>
      <c r="N13" s="1412"/>
      <c r="O13" s="1367"/>
      <c r="P13" s="1368">
        <f t="shared" si="2"/>
        <v>0</v>
      </c>
      <c r="Q13" s="1372"/>
      <c r="R13" s="1372"/>
      <c r="S13" s="1372"/>
      <c r="T13" s="1372"/>
      <c r="U13" s="1372"/>
      <c r="V13" s="1372"/>
      <c r="W13" s="1372"/>
      <c r="X13" s="1372"/>
      <c r="Y13" s="1372"/>
      <c r="Z13" s="1372"/>
      <c r="AA13" s="1372"/>
      <c r="AB13" s="1372"/>
      <c r="AC13" s="1372"/>
      <c r="AD13" s="1373">
        <f t="shared" si="4"/>
        <v>0</v>
      </c>
      <c r="AE13" s="1367"/>
      <c r="AF13" s="1412">
        <v>0</v>
      </c>
      <c r="AG13" s="1367"/>
      <c r="AH13" s="1374">
        <f t="shared" si="5"/>
        <v>0</v>
      </c>
      <c r="AI13" s="1367"/>
      <c r="AJ13" s="1375">
        <f t="shared" si="6"/>
        <v>0</v>
      </c>
      <c r="AK13" s="1367"/>
      <c r="AL13" s="1426"/>
      <c r="AM13" s="1367"/>
      <c r="AN13" s="1426"/>
      <c r="AO13" s="1366"/>
      <c r="AP13" s="1366"/>
    </row>
    <row r="14" spans="1:42">
      <c r="A14" s="1367" t="s">
        <v>382</v>
      </c>
      <c r="B14" s="1367"/>
      <c r="C14" s="1421"/>
      <c r="D14" s="1370">
        <v>0</v>
      </c>
      <c r="E14" s="1369"/>
      <c r="F14" s="1370">
        <v>0</v>
      </c>
      <c r="G14" s="1369"/>
      <c r="H14" s="1368">
        <f t="shared" si="0"/>
        <v>0</v>
      </c>
      <c r="I14" s="1367"/>
      <c r="J14" s="1370"/>
      <c r="K14" s="1367"/>
      <c r="L14" s="1362">
        <f t="shared" si="1"/>
        <v>0</v>
      </c>
      <c r="M14" s="1371"/>
      <c r="N14" s="1412"/>
      <c r="O14" s="1367"/>
      <c r="P14" s="1368">
        <f t="shared" si="2"/>
        <v>0</v>
      </c>
      <c r="Q14" s="1372"/>
      <c r="R14" s="1372"/>
      <c r="S14" s="1372"/>
      <c r="T14" s="1372"/>
      <c r="U14" s="1372"/>
      <c r="V14" s="1372"/>
      <c r="W14" s="1372"/>
      <c r="X14" s="1372"/>
      <c r="Y14" s="1372"/>
      <c r="Z14" s="1372"/>
      <c r="AA14" s="1372"/>
      <c r="AB14" s="1372"/>
      <c r="AC14" s="1372"/>
      <c r="AD14" s="1373">
        <f t="shared" si="4"/>
        <v>0</v>
      </c>
      <c r="AE14" s="1367"/>
      <c r="AF14" s="1412">
        <v>0</v>
      </c>
      <c r="AG14" s="1367"/>
      <c r="AH14" s="1374">
        <f t="shared" si="5"/>
        <v>0</v>
      </c>
      <c r="AI14" s="1367"/>
      <c r="AJ14" s="1375">
        <f t="shared" si="6"/>
        <v>0</v>
      </c>
      <c r="AK14" s="1367"/>
      <c r="AL14" s="1426"/>
      <c r="AM14" s="1367"/>
      <c r="AN14" s="1426"/>
      <c r="AO14" s="1366"/>
      <c r="AP14" s="1366"/>
    </row>
    <row r="15" spans="1:42">
      <c r="A15" s="1367" t="s">
        <v>382</v>
      </c>
      <c r="B15" s="1367"/>
      <c r="C15" s="1421"/>
      <c r="D15" s="1370">
        <v>0</v>
      </c>
      <c r="E15" s="1369"/>
      <c r="F15" s="1370">
        <v>0</v>
      </c>
      <c r="G15" s="1369"/>
      <c r="H15" s="1368">
        <f t="shared" si="0"/>
        <v>0</v>
      </c>
      <c r="I15" s="1367"/>
      <c r="J15" s="1370"/>
      <c r="K15" s="1367"/>
      <c r="L15" s="1362">
        <f t="shared" si="1"/>
        <v>0</v>
      </c>
      <c r="M15" s="1371"/>
      <c r="N15" s="1412"/>
      <c r="O15" s="1367"/>
      <c r="P15" s="1368">
        <f t="shared" si="2"/>
        <v>0</v>
      </c>
      <c r="Q15" s="1372"/>
      <c r="R15" s="1372"/>
      <c r="S15" s="1372"/>
      <c r="T15" s="1372"/>
      <c r="U15" s="1372"/>
      <c r="V15" s="1372"/>
      <c r="W15" s="1372"/>
      <c r="X15" s="1372"/>
      <c r="Y15" s="1372"/>
      <c r="Z15" s="1372"/>
      <c r="AA15" s="1372"/>
      <c r="AB15" s="1372"/>
      <c r="AC15" s="1372"/>
      <c r="AD15" s="1373">
        <f t="shared" si="4"/>
        <v>0</v>
      </c>
      <c r="AE15" s="1367"/>
      <c r="AF15" s="1412">
        <v>0</v>
      </c>
      <c r="AG15" s="1367"/>
      <c r="AH15" s="1374">
        <f t="shared" si="5"/>
        <v>0</v>
      </c>
      <c r="AI15" s="1367"/>
      <c r="AJ15" s="1375">
        <f t="shared" si="6"/>
        <v>0</v>
      </c>
      <c r="AK15" s="1367"/>
      <c r="AL15" s="1426"/>
      <c r="AM15" s="1367"/>
      <c r="AN15" s="1426"/>
      <c r="AO15" s="1366"/>
      <c r="AP15" s="1366"/>
    </row>
    <row r="16" spans="1:42">
      <c r="A16" s="1367" t="s">
        <v>316</v>
      </c>
      <c r="B16" s="1367"/>
      <c r="C16" s="1421"/>
      <c r="D16" s="1370"/>
      <c r="E16" s="1376"/>
      <c r="F16" s="1379">
        <v>0</v>
      </c>
      <c r="G16" s="1376"/>
      <c r="H16" s="1377">
        <f t="shared" si="0"/>
        <v>0</v>
      </c>
      <c r="I16" s="1378"/>
      <c r="J16" s="1379"/>
      <c r="K16" s="1378"/>
      <c r="L16" s="1362">
        <f t="shared" si="1"/>
        <v>0</v>
      </c>
      <c r="M16" s="1380"/>
      <c r="N16" s="1424"/>
      <c r="O16" s="1378"/>
      <c r="P16" s="1377">
        <f t="shared" si="2"/>
        <v>0</v>
      </c>
      <c r="Q16" s="1381"/>
      <c r="R16" s="1381"/>
      <c r="S16" s="1381"/>
      <c r="T16" s="1381"/>
      <c r="U16" s="1381"/>
      <c r="V16" s="1381"/>
      <c r="W16" s="1381"/>
      <c r="X16" s="1381"/>
      <c r="Y16" s="1381"/>
      <c r="Z16" s="1381"/>
      <c r="AA16" s="1381"/>
      <c r="AB16" s="1381"/>
      <c r="AC16" s="1381"/>
      <c r="AD16" s="1382">
        <f t="shared" si="4"/>
        <v>0</v>
      </c>
      <c r="AE16" s="1378"/>
      <c r="AF16" s="1425">
        <v>0</v>
      </c>
      <c r="AG16" s="1378"/>
      <c r="AH16" s="1383">
        <f t="shared" si="5"/>
        <v>0</v>
      </c>
      <c r="AI16" s="1378"/>
      <c r="AJ16" s="1384">
        <f t="shared" si="6"/>
        <v>0</v>
      </c>
      <c r="AK16" s="1378"/>
      <c r="AL16" s="1427"/>
      <c r="AM16" s="1385"/>
      <c r="AN16" s="1428"/>
      <c r="AO16" s="1366"/>
      <c r="AP16" s="1366"/>
    </row>
    <row r="17" spans="1:42" ht="15" customHeight="1">
      <c r="A17" s="1386">
        <v>2</v>
      </c>
      <c r="D17" s="1386"/>
      <c r="E17" s="1630" t="s">
        <v>981</v>
      </c>
      <c r="F17" s="1630"/>
      <c r="G17" s="1630"/>
      <c r="H17" s="1630"/>
      <c r="I17" s="1630"/>
      <c r="J17" s="1630"/>
      <c r="K17" s="1630"/>
      <c r="L17" s="1630"/>
      <c r="M17" s="1630"/>
      <c r="N17" s="1630"/>
      <c r="O17" s="1630"/>
      <c r="P17" s="1387">
        <f>SUM(P7:P16)</f>
        <v>1934455.8834736845</v>
      </c>
      <c r="S17" s="1388" t="s">
        <v>982</v>
      </c>
      <c r="T17" s="1388"/>
      <c r="U17" s="1388"/>
      <c r="V17" s="1388"/>
      <c r="W17" s="1388"/>
      <c r="X17" s="1388"/>
      <c r="Y17" s="1388"/>
      <c r="Z17" s="1388"/>
      <c r="AA17" s="1388"/>
      <c r="AD17" s="1429" t="s">
        <v>1054</v>
      </c>
      <c r="AE17" s="1429"/>
      <c r="AF17" s="1429"/>
      <c r="AG17" s="1429"/>
      <c r="AH17" s="1429"/>
      <c r="AI17" s="1429"/>
      <c r="AJ17" s="1389">
        <f>SUM(AJ7:AJ16)</f>
        <v>4836139.9347894732</v>
      </c>
      <c r="AK17" s="1390"/>
      <c r="AL17" s="1391"/>
      <c r="AM17" s="1366"/>
      <c r="AN17" s="1366"/>
      <c r="AO17" s="1366"/>
      <c r="AP17" s="1366"/>
    </row>
    <row r="19" spans="1:42">
      <c r="C19" s="1366" t="s">
        <v>983</v>
      </c>
      <c r="Q19" s="1388"/>
      <c r="R19" s="1388"/>
      <c r="S19" s="1388"/>
      <c r="T19" s="1366"/>
      <c r="U19" s="1366"/>
      <c r="V19" s="1366"/>
      <c r="W19" s="1366"/>
      <c r="X19" s="1366"/>
      <c r="Y19" s="1366"/>
      <c r="Z19" s="1366"/>
      <c r="AA19" s="1366"/>
      <c r="AB19" s="1366"/>
      <c r="AC19" s="1388"/>
      <c r="AF19" s="1366"/>
      <c r="AG19" s="1366" t="s">
        <v>880</v>
      </c>
      <c r="AH19" s="1391"/>
      <c r="AI19" s="1366"/>
      <c r="AK19" s="1366"/>
      <c r="AM19" s="1366"/>
      <c r="AN19" s="1366"/>
      <c r="AO19" s="1366"/>
      <c r="AP19" s="1366"/>
    </row>
    <row r="20" spans="1:42" ht="11.25" customHeight="1">
      <c r="A20" s="1396"/>
      <c r="B20" s="1396" t="s">
        <v>10</v>
      </c>
      <c r="C20" s="1628" t="s">
        <v>1055</v>
      </c>
      <c r="D20" s="1628"/>
      <c r="E20" s="1628"/>
      <c r="F20" s="1628"/>
      <c r="G20" s="1628"/>
      <c r="H20" s="1628"/>
      <c r="I20" s="1628"/>
      <c r="J20" s="1628"/>
      <c r="K20" s="1628"/>
      <c r="L20" s="1397"/>
      <c r="M20" s="1397"/>
      <c r="N20" s="1397"/>
      <c r="O20" s="1397"/>
      <c r="P20" s="1397"/>
      <c r="Q20" s="1398"/>
      <c r="R20" s="1398"/>
      <c r="S20" s="1398"/>
      <c r="T20" s="1399"/>
      <c r="U20" s="1399"/>
      <c r="V20" s="1399"/>
      <c r="W20" s="1399"/>
      <c r="X20" s="1399"/>
      <c r="Y20" s="1399"/>
      <c r="Z20" s="1399"/>
      <c r="AA20" s="1399"/>
      <c r="AB20" s="1399"/>
      <c r="AC20" s="1524"/>
      <c r="AF20" s="1400" t="s">
        <v>12</v>
      </c>
      <c r="AG20" s="1401" t="s">
        <v>984</v>
      </c>
      <c r="AH20" s="1400"/>
      <c r="AI20" s="1399"/>
      <c r="AJ20" s="1399"/>
      <c r="AK20" s="1399"/>
      <c r="AL20" s="1399"/>
      <c r="AM20" s="1399"/>
      <c r="AN20" s="1366"/>
      <c r="AO20" s="1366"/>
      <c r="AP20" s="1366"/>
    </row>
    <row r="21" spans="1:42">
      <c r="A21" s="1396"/>
      <c r="B21" s="1396"/>
      <c r="C21" s="1628"/>
      <c r="D21" s="1628"/>
      <c r="E21" s="1628"/>
      <c r="F21" s="1628"/>
      <c r="G21" s="1628"/>
      <c r="H21" s="1628"/>
      <c r="I21" s="1628"/>
      <c r="J21" s="1628"/>
      <c r="K21" s="1628"/>
      <c r="L21" s="1397"/>
      <c r="M21" s="1397"/>
      <c r="N21" s="1397"/>
      <c r="O21" s="1397"/>
      <c r="P21" s="1397"/>
      <c r="Q21" s="1399"/>
      <c r="R21" s="1399"/>
      <c r="S21" s="1399"/>
      <c r="T21" s="1399"/>
      <c r="U21" s="1399"/>
      <c r="V21" s="1399"/>
      <c r="W21" s="1399"/>
      <c r="X21" s="1399"/>
      <c r="Y21" s="1399"/>
      <c r="Z21" s="1399"/>
      <c r="AA21" s="1399"/>
      <c r="AB21" s="1399"/>
      <c r="AC21" s="1399"/>
      <c r="AF21" s="1400" t="s">
        <v>13</v>
      </c>
      <c r="AG21" s="1366" t="s">
        <v>985</v>
      </c>
      <c r="AH21" s="1400"/>
      <c r="AI21" s="1366"/>
      <c r="AK21" s="1399"/>
      <c r="AL21" s="1399"/>
      <c r="AM21" s="1399"/>
      <c r="AN21" s="1366"/>
      <c r="AO21" s="1366"/>
      <c r="AP21" s="1366"/>
    </row>
    <row r="22" spans="1:42" ht="11.25" customHeight="1">
      <c r="A22" s="1396"/>
      <c r="B22" s="1396"/>
      <c r="C22" s="1628"/>
      <c r="D22" s="1628"/>
      <c r="E22" s="1628"/>
      <c r="F22" s="1628"/>
      <c r="G22" s="1628"/>
      <c r="H22" s="1628"/>
      <c r="I22" s="1628"/>
      <c r="J22" s="1628"/>
      <c r="K22" s="1397"/>
      <c r="L22" s="1397"/>
      <c r="M22" s="1397"/>
      <c r="N22" s="1397"/>
      <c r="O22" s="1397"/>
      <c r="P22" s="1397"/>
      <c r="Q22" s="1366"/>
      <c r="R22" s="1366"/>
      <c r="S22" s="1366"/>
      <c r="T22" s="1366"/>
      <c r="U22" s="1366"/>
      <c r="V22" s="1366"/>
      <c r="W22" s="1366"/>
      <c r="X22" s="1366"/>
      <c r="Y22" s="1366"/>
      <c r="Z22" s="1366"/>
      <c r="AA22" s="1366"/>
      <c r="AB22" s="1366"/>
      <c r="AC22" s="1525"/>
      <c r="AD22" s="1366"/>
      <c r="AE22" s="1366"/>
      <c r="AF22" s="1366"/>
      <c r="AG22" s="1366"/>
      <c r="AI22" s="1366"/>
      <c r="AK22" s="1366"/>
      <c r="AM22" s="1366"/>
      <c r="AN22" s="1366"/>
      <c r="AO22" s="1366"/>
      <c r="AP22" s="1366"/>
    </row>
    <row r="23" spans="1:42">
      <c r="A23" s="1396"/>
      <c r="B23" s="1396"/>
      <c r="C23" s="1628"/>
      <c r="D23" s="1628"/>
      <c r="E23" s="1628"/>
      <c r="F23" s="1628"/>
      <c r="G23" s="1628"/>
      <c r="H23" s="1628"/>
      <c r="I23" s="1628"/>
      <c r="J23" s="1628"/>
      <c r="K23" s="1397"/>
      <c r="L23" s="1397"/>
      <c r="M23" s="1397"/>
      <c r="N23" s="1397"/>
      <c r="O23" s="1397"/>
      <c r="P23" s="1397"/>
      <c r="Q23" s="1366"/>
      <c r="R23" s="1366"/>
      <c r="S23" s="1366"/>
      <c r="T23" s="1366"/>
      <c r="U23" s="1366"/>
      <c r="V23" s="1366"/>
      <c r="W23" s="1366"/>
      <c r="X23" s="1366"/>
      <c r="Y23" s="1366"/>
      <c r="Z23" s="1366"/>
      <c r="AA23" s="1366"/>
      <c r="AB23" s="1366"/>
      <c r="AC23" s="1366"/>
      <c r="AD23" s="1366"/>
      <c r="AE23" s="1366"/>
      <c r="AF23" s="1366"/>
      <c r="AG23" s="1366"/>
      <c r="AI23" s="1366"/>
      <c r="AK23" s="1366"/>
      <c r="AM23" s="1366"/>
      <c r="AN23" s="1366"/>
      <c r="AO23" s="1366"/>
      <c r="AP23" s="1366"/>
    </row>
    <row r="24" spans="1:42">
      <c r="A24" s="1396"/>
      <c r="B24" s="1396"/>
      <c r="C24" s="1628"/>
      <c r="D24" s="1628"/>
      <c r="E24" s="1628"/>
      <c r="F24" s="1628"/>
      <c r="G24" s="1628"/>
      <c r="H24" s="1628"/>
      <c r="I24" s="1628"/>
      <c r="J24" s="1628"/>
      <c r="M24" s="1399"/>
      <c r="Q24" s="1366"/>
      <c r="R24" s="1366"/>
      <c r="S24" s="1366"/>
      <c r="T24" s="1366"/>
      <c r="U24" s="1366"/>
      <c r="V24" s="1366"/>
      <c r="W24" s="1366"/>
      <c r="X24" s="1366"/>
      <c r="Y24" s="1366"/>
      <c r="Z24" s="1366"/>
      <c r="AA24" s="1366"/>
      <c r="AB24" s="1366"/>
      <c r="AC24" s="1366"/>
      <c r="AD24" s="1366"/>
      <c r="AE24" s="1366"/>
      <c r="AF24" s="1366"/>
      <c r="AG24" s="1366"/>
      <c r="AI24" s="1366"/>
      <c r="AK24" s="1366"/>
      <c r="AM24" s="1366"/>
      <c r="AN24" s="1366"/>
      <c r="AO24" s="1366"/>
      <c r="AP24" s="1366"/>
    </row>
    <row r="25" spans="1:42">
      <c r="A25" s="1396"/>
      <c r="B25" s="1396"/>
      <c r="Q25" s="1366"/>
      <c r="R25" s="1366"/>
      <c r="S25" s="1366"/>
      <c r="T25" s="1366"/>
      <c r="U25" s="1366"/>
      <c r="V25" s="1366"/>
      <c r="W25" s="1366"/>
      <c r="X25" s="1366"/>
      <c r="Y25" s="1366"/>
      <c r="Z25" s="1366"/>
      <c r="AA25" s="1366"/>
      <c r="AB25" s="1366"/>
      <c r="AC25" s="1366"/>
      <c r="AD25" s="1366"/>
      <c r="AE25" s="1366"/>
      <c r="AF25" s="1366"/>
      <c r="AG25" s="1366"/>
      <c r="AI25" s="1366"/>
      <c r="AK25" s="1366"/>
      <c r="AM25" s="1366"/>
      <c r="AN25" s="1366"/>
      <c r="AO25" s="1366"/>
      <c r="AP25" s="1366"/>
    </row>
    <row r="26" spans="1:42">
      <c r="A26" s="1396"/>
      <c r="B26" s="1396"/>
      <c r="Q26" s="1366"/>
      <c r="R26" s="1366"/>
      <c r="S26" s="1366"/>
      <c r="T26" s="1366"/>
      <c r="U26" s="1366"/>
      <c r="V26" s="1366"/>
      <c r="W26" s="1366"/>
      <c r="X26" s="1366"/>
      <c r="Y26" s="1366"/>
      <c r="Z26" s="1366"/>
      <c r="AA26" s="1366"/>
      <c r="AB26" s="1366"/>
      <c r="AC26" s="1366"/>
      <c r="AD26" s="1366"/>
      <c r="AE26" s="1366"/>
      <c r="AF26" s="1366"/>
      <c r="AG26" s="1366"/>
      <c r="AI26" s="1366"/>
      <c r="AK26" s="1366"/>
      <c r="AM26" s="1366"/>
      <c r="AN26" s="1366"/>
      <c r="AO26" s="1366"/>
      <c r="AP26" s="1366"/>
    </row>
    <row r="27" spans="1:42">
      <c r="A27" s="1396"/>
      <c r="B27" s="1396"/>
      <c r="Q27" s="1366"/>
      <c r="R27" s="1366"/>
      <c r="S27" s="1366"/>
      <c r="T27" s="1366"/>
      <c r="U27" s="1366"/>
      <c r="V27" s="1366"/>
      <c r="W27" s="1366"/>
      <c r="X27" s="1366"/>
      <c r="Y27" s="1366"/>
      <c r="Z27" s="1366"/>
      <c r="AA27" s="1366"/>
      <c r="AB27" s="1366"/>
      <c r="AC27" s="1366"/>
      <c r="AD27" s="1366"/>
      <c r="AE27" s="1366"/>
      <c r="AF27" s="1366"/>
      <c r="AG27" s="1366"/>
      <c r="AI27" s="1366"/>
      <c r="AK27" s="1366"/>
      <c r="AM27" s="1366"/>
      <c r="AN27" s="1366"/>
      <c r="AO27" s="1366"/>
      <c r="AP27" s="1366"/>
    </row>
    <row r="28" spans="1:42">
      <c r="A28" s="1396"/>
      <c r="B28" s="1396"/>
      <c r="Q28" s="1366"/>
      <c r="R28" s="1366"/>
      <c r="S28" s="1366"/>
      <c r="T28" s="1366"/>
      <c r="U28" s="1366"/>
      <c r="V28" s="1366"/>
      <c r="W28" s="1366"/>
      <c r="X28" s="1366"/>
      <c r="Y28" s="1366"/>
      <c r="Z28" s="1366"/>
      <c r="AA28" s="1366"/>
      <c r="AB28" s="1366"/>
      <c r="AC28" s="1366"/>
      <c r="AD28" s="1366"/>
      <c r="AE28" s="1366"/>
      <c r="AF28" s="1366"/>
      <c r="AG28" s="1366"/>
      <c r="AI28" s="1366"/>
      <c r="AK28" s="1366"/>
      <c r="AM28" s="1366"/>
      <c r="AN28" s="1366"/>
      <c r="AO28" s="1366"/>
      <c r="AP28" s="1366"/>
    </row>
    <row r="29" spans="1:42">
      <c r="A29" s="1396"/>
      <c r="B29" s="1396"/>
      <c r="Q29" s="1366"/>
      <c r="R29" s="1366"/>
      <c r="S29" s="1366"/>
      <c r="T29" s="1366"/>
      <c r="U29" s="1366"/>
      <c r="V29" s="1366"/>
      <c r="W29" s="1366"/>
      <c r="X29" s="1366"/>
      <c r="Y29" s="1366"/>
      <c r="Z29" s="1366"/>
      <c r="AA29" s="1366"/>
      <c r="AB29" s="1366"/>
      <c r="AC29" s="1366"/>
      <c r="AD29" s="1366"/>
      <c r="AE29" s="1366"/>
      <c r="AM29" s="1366"/>
      <c r="AN29" s="1366"/>
      <c r="AO29" s="1366"/>
      <c r="AP29" s="1366"/>
    </row>
    <row r="30" spans="1:42">
      <c r="A30" s="1396"/>
      <c r="B30" s="1396"/>
      <c r="Q30" s="1366"/>
      <c r="R30" s="1366"/>
      <c r="S30" s="1366"/>
      <c r="T30" s="1366"/>
      <c r="U30" s="1366"/>
      <c r="V30" s="1366"/>
      <c r="W30" s="1366"/>
      <c r="X30" s="1366"/>
      <c r="Y30" s="1366"/>
      <c r="Z30" s="1366"/>
      <c r="AA30" s="1366"/>
      <c r="AB30" s="1366"/>
      <c r="AC30" s="1366"/>
      <c r="AD30" s="1366"/>
      <c r="AE30" s="1366"/>
      <c r="AM30" s="1366"/>
      <c r="AN30" s="1366"/>
      <c r="AO30" s="1366"/>
      <c r="AP30" s="1366"/>
    </row>
    <row r="31" spans="1:42">
      <c r="B31" s="1396"/>
    </row>
  </sheetData>
  <mergeCells count="30">
    <mergeCell ref="A5:A6"/>
    <mergeCell ref="B5:B6"/>
    <mergeCell ref="C5:C6"/>
    <mergeCell ref="D5:D6"/>
    <mergeCell ref="E5:E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C20:K21"/>
    <mergeCell ref="C22:J24"/>
    <mergeCell ref="AK5:AK6"/>
    <mergeCell ref="AL5:AL6"/>
    <mergeCell ref="AM5:AM6"/>
    <mergeCell ref="H5:H6"/>
    <mergeCell ref="I5:I6"/>
    <mergeCell ref="J5:J6"/>
    <mergeCell ref="K5:K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Z43"/>
  <sheetViews>
    <sheetView workbookViewId="0">
      <selection activeCell="Q43" sqref="Q43"/>
    </sheetView>
  </sheetViews>
  <sheetFormatPr defaultColWidth="7.109375" defaultRowHeight="11.25"/>
  <cols>
    <col min="1" max="1" width="2.5546875" style="1386" customWidth="1"/>
    <col min="2" max="2" width="7.77734375" style="1413" customWidth="1"/>
    <col min="3" max="3" width="32.21875" style="1413" customWidth="1"/>
    <col min="4" max="4" width="7.44140625" style="1413" customWidth="1"/>
    <col min="5" max="16" width="7.44140625" style="1392" customWidth="1"/>
    <col min="17" max="17" width="8.44140625" style="1392" customWidth="1"/>
    <col min="18" max="18" width="1.44140625" style="1392" customWidth="1"/>
    <col min="19" max="19" width="10" style="1392" customWidth="1"/>
    <col min="20" max="20" width="1.44140625" style="1392" customWidth="1"/>
    <col min="21" max="21" width="9.77734375" style="1392" customWidth="1"/>
    <col min="22" max="22" width="1.44140625" style="1386" customWidth="1"/>
    <col min="23" max="23" width="7.44140625" style="1366" customWidth="1"/>
    <col min="24" max="16384" width="7.109375" style="1366"/>
  </cols>
  <sheetData>
    <row r="1" spans="1:23" ht="15">
      <c r="A1" s="1246" t="s">
        <v>1071</v>
      </c>
      <c r="L1" s="1246" t="s">
        <v>1071</v>
      </c>
    </row>
    <row r="2" spans="1:23" ht="15.75">
      <c r="A2" s="1246" t="s">
        <v>1069</v>
      </c>
      <c r="L2" s="1246" t="s">
        <v>1069</v>
      </c>
    </row>
    <row r="4" spans="1:23" s="1352" customFormat="1">
      <c r="B4" s="1402" t="s">
        <v>461</v>
      </c>
      <c r="C4" s="1353" t="s">
        <v>593</v>
      </c>
      <c r="D4" s="1354" t="s">
        <v>841</v>
      </c>
      <c r="E4" s="1354" t="s">
        <v>591</v>
      </c>
      <c r="F4" s="1354" t="s">
        <v>842</v>
      </c>
      <c r="G4" s="1354" t="s">
        <v>589</v>
      </c>
      <c r="H4" s="1354" t="s">
        <v>588</v>
      </c>
      <c r="I4" s="1354" t="s">
        <v>587</v>
      </c>
      <c r="J4" s="1354" t="s">
        <v>850</v>
      </c>
      <c r="K4" s="1354" t="s">
        <v>851</v>
      </c>
      <c r="L4" s="1354" t="s">
        <v>852</v>
      </c>
      <c r="M4" s="1354" t="s">
        <v>853</v>
      </c>
      <c r="N4" s="1354" t="s">
        <v>854</v>
      </c>
      <c r="O4" s="1354" t="s">
        <v>855</v>
      </c>
      <c r="P4" s="1354" t="s">
        <v>856</v>
      </c>
      <c r="Q4" s="1353" t="s">
        <v>857</v>
      </c>
      <c r="S4" s="1352" t="s">
        <v>858</v>
      </c>
      <c r="U4" s="1352" t="s">
        <v>859</v>
      </c>
      <c r="W4" s="1352" t="s">
        <v>860</v>
      </c>
    </row>
    <row r="5" spans="1:23" s="1359" customFormat="1" ht="36.75" customHeight="1">
      <c r="A5" s="1629" t="s">
        <v>17</v>
      </c>
      <c r="B5" s="1629" t="s">
        <v>986</v>
      </c>
      <c r="C5" s="1634" t="s">
        <v>987</v>
      </c>
      <c r="D5" s="1403" t="s">
        <v>866</v>
      </c>
      <c r="E5" s="1358" t="s">
        <v>867</v>
      </c>
      <c r="F5" s="1358" t="s">
        <v>868</v>
      </c>
      <c r="G5" s="1358" t="s">
        <v>869</v>
      </c>
      <c r="H5" s="1358" t="s">
        <v>870</v>
      </c>
      <c r="I5" s="1358" t="s">
        <v>871</v>
      </c>
      <c r="J5" s="1358" t="s">
        <v>870</v>
      </c>
      <c r="K5" s="1358" t="s">
        <v>872</v>
      </c>
      <c r="L5" s="1358" t="s">
        <v>873</v>
      </c>
      <c r="M5" s="1358" t="s">
        <v>874</v>
      </c>
      <c r="N5" s="1358" t="s">
        <v>875</v>
      </c>
      <c r="O5" s="1358" t="s">
        <v>876</v>
      </c>
      <c r="P5" s="1358" t="s">
        <v>866</v>
      </c>
      <c r="Q5" s="1629" t="s">
        <v>988</v>
      </c>
      <c r="R5" s="1629" t="s">
        <v>847</v>
      </c>
      <c r="S5" s="1629" t="s">
        <v>989</v>
      </c>
      <c r="T5" s="1629" t="s">
        <v>847</v>
      </c>
      <c r="U5" s="1629" t="s">
        <v>990</v>
      </c>
      <c r="V5" s="1629" t="s">
        <v>66</v>
      </c>
      <c r="W5" s="1629" t="s">
        <v>991</v>
      </c>
    </row>
    <row r="6" spans="1:23" s="1359" customFormat="1">
      <c r="A6" s="1629"/>
      <c r="B6" s="1629"/>
      <c r="C6" s="1635"/>
      <c r="D6" s="1404" t="s">
        <v>1097</v>
      </c>
      <c r="E6" s="1360" t="s">
        <v>1108</v>
      </c>
      <c r="F6" s="1360" t="s">
        <v>1108</v>
      </c>
      <c r="G6" s="1360" t="s">
        <v>1108</v>
      </c>
      <c r="H6" s="1360" t="s">
        <v>1108</v>
      </c>
      <c r="I6" s="1360" t="s">
        <v>1108</v>
      </c>
      <c r="J6" s="1360" t="s">
        <v>1108</v>
      </c>
      <c r="K6" s="1360" t="s">
        <v>1108</v>
      </c>
      <c r="L6" s="1360" t="s">
        <v>1108</v>
      </c>
      <c r="M6" s="1360" t="s">
        <v>1108</v>
      </c>
      <c r="N6" s="1360" t="s">
        <v>1108</v>
      </c>
      <c r="O6" s="1360" t="s">
        <v>1108</v>
      </c>
      <c r="P6" s="1360" t="s">
        <v>1108</v>
      </c>
      <c r="Q6" s="1629"/>
      <c r="R6" s="1629"/>
      <c r="S6" s="1629"/>
      <c r="T6" s="1629"/>
      <c r="U6" s="1629"/>
      <c r="V6" s="1629"/>
      <c r="W6" s="1629"/>
    </row>
    <row r="7" spans="1:23">
      <c r="A7" s="1386" t="s">
        <v>313</v>
      </c>
      <c r="B7" s="1405"/>
      <c r="C7" s="1406"/>
      <c r="D7" s="1406"/>
      <c r="E7" s="1406"/>
      <c r="F7" s="1406"/>
      <c r="G7" s="1406"/>
      <c r="H7" s="1406"/>
      <c r="I7" s="1406"/>
      <c r="J7" s="1406"/>
      <c r="K7" s="1406"/>
      <c r="L7" s="1406"/>
      <c r="M7" s="1406"/>
      <c r="N7" s="1406"/>
      <c r="O7" s="1406"/>
      <c r="P7" s="1406"/>
      <c r="Q7" s="1407">
        <f t="shared" ref="Q7:Q31" si="0">IFERROR(SUM(D7:P7)/13,0)</f>
        <v>0</v>
      </c>
      <c r="R7" s="1407"/>
      <c r="S7" s="1408">
        <v>1</v>
      </c>
      <c r="T7" s="1407"/>
      <c r="U7" s="1408">
        <v>1</v>
      </c>
      <c r="V7" s="1409"/>
      <c r="W7" s="1410">
        <f>Q7*S7*U7</f>
        <v>0</v>
      </c>
    </row>
    <row r="8" spans="1:23">
      <c r="A8" s="1386" t="s">
        <v>881</v>
      </c>
      <c r="B8" s="1411"/>
      <c r="C8" s="1370"/>
      <c r="D8" s="1370"/>
      <c r="E8" s="1370"/>
      <c r="F8" s="1370"/>
      <c r="G8" s="1370"/>
      <c r="H8" s="1370"/>
      <c r="I8" s="1370"/>
      <c r="J8" s="1370"/>
      <c r="K8" s="1370"/>
      <c r="L8" s="1370"/>
      <c r="M8" s="1370"/>
      <c r="N8" s="1370"/>
      <c r="O8" s="1370"/>
      <c r="P8" s="1370"/>
      <c r="Q8" s="1368">
        <f t="shared" si="0"/>
        <v>0</v>
      </c>
      <c r="R8" s="1368"/>
      <c r="S8" s="1412"/>
      <c r="T8" s="1368"/>
      <c r="U8" s="1412"/>
      <c r="V8" s="1367"/>
      <c r="W8" s="1410">
        <f t="shared" ref="W8:W31" si="1">Q8*S8*U8</f>
        <v>0</v>
      </c>
    </row>
    <row r="9" spans="1:23">
      <c r="A9" s="1386" t="s">
        <v>882</v>
      </c>
      <c r="B9" s="1411"/>
      <c r="C9" s="1370"/>
      <c r="D9" s="1370"/>
      <c r="E9" s="1370"/>
      <c r="F9" s="1370"/>
      <c r="G9" s="1370"/>
      <c r="H9" s="1370"/>
      <c r="I9" s="1370"/>
      <c r="J9" s="1370"/>
      <c r="K9" s="1370"/>
      <c r="L9" s="1370"/>
      <c r="M9" s="1370"/>
      <c r="N9" s="1370"/>
      <c r="O9" s="1370"/>
      <c r="P9" s="1370"/>
      <c r="Q9" s="1368">
        <f t="shared" si="0"/>
        <v>0</v>
      </c>
      <c r="R9" s="1368"/>
      <c r="S9" s="1412"/>
      <c r="T9" s="1368"/>
      <c r="U9" s="1412"/>
      <c r="V9" s="1367"/>
      <c r="W9" s="1410">
        <f t="shared" si="1"/>
        <v>0</v>
      </c>
    </row>
    <row r="10" spans="1:23">
      <c r="A10" s="1386" t="s">
        <v>382</v>
      </c>
      <c r="B10" s="1411"/>
      <c r="C10" s="1370"/>
      <c r="D10" s="1370"/>
      <c r="E10" s="1370"/>
      <c r="F10" s="1370"/>
      <c r="G10" s="1370"/>
      <c r="H10" s="1370"/>
      <c r="I10" s="1370"/>
      <c r="J10" s="1370"/>
      <c r="K10" s="1370"/>
      <c r="L10" s="1370"/>
      <c r="M10" s="1370"/>
      <c r="N10" s="1370"/>
      <c r="O10" s="1370"/>
      <c r="P10" s="1370"/>
      <c r="Q10" s="1368">
        <f t="shared" si="0"/>
        <v>0</v>
      </c>
      <c r="R10" s="1368"/>
      <c r="S10" s="1412"/>
      <c r="T10" s="1368"/>
      <c r="U10" s="1412"/>
      <c r="V10" s="1367"/>
      <c r="W10" s="1410">
        <f t="shared" si="1"/>
        <v>0</v>
      </c>
    </row>
    <row r="11" spans="1:23">
      <c r="A11" s="1386" t="s">
        <v>382</v>
      </c>
      <c r="B11" s="1411"/>
      <c r="C11" s="1370"/>
      <c r="D11" s="1370"/>
      <c r="E11" s="1370"/>
      <c r="F11" s="1370"/>
      <c r="G11" s="1370"/>
      <c r="H11" s="1370"/>
      <c r="I11" s="1370"/>
      <c r="J11" s="1370"/>
      <c r="K11" s="1370"/>
      <c r="L11" s="1370"/>
      <c r="M11" s="1370"/>
      <c r="N11" s="1370"/>
      <c r="O11" s="1370"/>
      <c r="P11" s="1370"/>
      <c r="Q11" s="1368">
        <f t="shared" si="0"/>
        <v>0</v>
      </c>
      <c r="R11" s="1368"/>
      <c r="S11" s="1412"/>
      <c r="T11" s="1368"/>
      <c r="U11" s="1412"/>
      <c r="V11" s="1367"/>
      <c r="W11" s="1410">
        <f t="shared" si="1"/>
        <v>0</v>
      </c>
    </row>
    <row r="12" spans="1:23">
      <c r="A12" s="1386" t="s">
        <v>382</v>
      </c>
      <c r="B12" s="1411"/>
      <c r="C12" s="1370"/>
      <c r="D12" s="1370"/>
      <c r="E12" s="1370"/>
      <c r="F12" s="1370"/>
      <c r="G12" s="1370"/>
      <c r="H12" s="1370"/>
      <c r="I12" s="1370"/>
      <c r="J12" s="1370"/>
      <c r="K12" s="1370"/>
      <c r="L12" s="1370"/>
      <c r="M12" s="1370"/>
      <c r="N12" s="1370"/>
      <c r="O12" s="1370"/>
      <c r="P12" s="1370"/>
      <c r="Q12" s="1368">
        <f t="shared" si="0"/>
        <v>0</v>
      </c>
      <c r="R12" s="1368"/>
      <c r="S12" s="1412"/>
      <c r="T12" s="1368"/>
      <c r="U12" s="1412"/>
      <c r="V12" s="1367"/>
      <c r="W12" s="1410">
        <f t="shared" si="1"/>
        <v>0</v>
      </c>
    </row>
    <row r="13" spans="1:23">
      <c r="A13" s="1386" t="s">
        <v>382</v>
      </c>
      <c r="B13" s="1411"/>
      <c r="C13" s="1370"/>
      <c r="D13" s="1370"/>
      <c r="E13" s="1370"/>
      <c r="F13" s="1370"/>
      <c r="G13" s="1370"/>
      <c r="H13" s="1370"/>
      <c r="I13" s="1370"/>
      <c r="J13" s="1370"/>
      <c r="K13" s="1370"/>
      <c r="L13" s="1370"/>
      <c r="M13" s="1370"/>
      <c r="N13" s="1370"/>
      <c r="O13" s="1370"/>
      <c r="P13" s="1370"/>
      <c r="Q13" s="1368">
        <f t="shared" si="0"/>
        <v>0</v>
      </c>
      <c r="R13" s="1368"/>
      <c r="S13" s="1412"/>
      <c r="T13" s="1368"/>
      <c r="U13" s="1412"/>
      <c r="V13" s="1367"/>
      <c r="W13" s="1410">
        <f t="shared" si="1"/>
        <v>0</v>
      </c>
    </row>
    <row r="14" spans="1:23">
      <c r="A14" s="1386" t="s">
        <v>382</v>
      </c>
      <c r="B14" s="1411"/>
      <c r="C14" s="1370"/>
      <c r="D14" s="1370"/>
      <c r="E14" s="1370"/>
      <c r="F14" s="1370"/>
      <c r="G14" s="1370"/>
      <c r="H14" s="1370"/>
      <c r="I14" s="1370"/>
      <c r="J14" s="1370"/>
      <c r="K14" s="1370"/>
      <c r="L14" s="1370"/>
      <c r="M14" s="1370"/>
      <c r="N14" s="1370"/>
      <c r="O14" s="1370"/>
      <c r="P14" s="1370"/>
      <c r="Q14" s="1368">
        <f t="shared" si="0"/>
        <v>0</v>
      </c>
      <c r="R14" s="1368"/>
      <c r="S14" s="1412"/>
      <c r="T14" s="1368"/>
      <c r="U14" s="1412"/>
      <c r="V14" s="1367"/>
      <c r="W14" s="1410">
        <f t="shared" si="1"/>
        <v>0</v>
      </c>
    </row>
    <row r="15" spans="1:23">
      <c r="A15" s="1386" t="s">
        <v>382</v>
      </c>
      <c r="B15" s="1411"/>
      <c r="C15" s="1370"/>
      <c r="D15" s="1370"/>
      <c r="E15" s="1370"/>
      <c r="F15" s="1370"/>
      <c r="G15" s="1370"/>
      <c r="H15" s="1370"/>
      <c r="I15" s="1370"/>
      <c r="J15" s="1370"/>
      <c r="K15" s="1370"/>
      <c r="L15" s="1370"/>
      <c r="M15" s="1370"/>
      <c r="N15" s="1370"/>
      <c r="O15" s="1370"/>
      <c r="P15" s="1370"/>
      <c r="Q15" s="1368">
        <f t="shared" si="0"/>
        <v>0</v>
      </c>
      <c r="R15" s="1368"/>
      <c r="S15" s="1412"/>
      <c r="T15" s="1368"/>
      <c r="U15" s="1412"/>
      <c r="V15" s="1367"/>
      <c r="W15" s="1410">
        <f t="shared" si="1"/>
        <v>0</v>
      </c>
    </row>
    <row r="16" spans="1:23">
      <c r="A16" s="1386" t="s">
        <v>382</v>
      </c>
      <c r="B16" s="1411"/>
      <c r="C16" s="1370"/>
      <c r="D16" s="1370"/>
      <c r="E16" s="1370"/>
      <c r="F16" s="1370"/>
      <c r="G16" s="1370"/>
      <c r="H16" s="1370"/>
      <c r="I16" s="1370"/>
      <c r="J16" s="1370"/>
      <c r="K16" s="1370"/>
      <c r="L16" s="1370"/>
      <c r="M16" s="1370"/>
      <c r="N16" s="1370"/>
      <c r="O16" s="1370"/>
      <c r="P16" s="1370"/>
      <c r="Q16" s="1368">
        <f t="shared" si="0"/>
        <v>0</v>
      </c>
      <c r="R16" s="1368"/>
      <c r="S16" s="1412"/>
      <c r="T16" s="1368"/>
      <c r="U16" s="1412"/>
      <c r="V16" s="1367"/>
      <c r="W16" s="1410">
        <f t="shared" si="1"/>
        <v>0</v>
      </c>
    </row>
    <row r="17" spans="1:23">
      <c r="A17" s="1386" t="s">
        <v>382</v>
      </c>
      <c r="B17" s="1411"/>
      <c r="C17" s="1370"/>
      <c r="D17" s="1370"/>
      <c r="E17" s="1370"/>
      <c r="F17" s="1370"/>
      <c r="G17" s="1370"/>
      <c r="H17" s="1370"/>
      <c r="I17" s="1370"/>
      <c r="J17" s="1370"/>
      <c r="K17" s="1370"/>
      <c r="L17" s="1370"/>
      <c r="M17" s="1370"/>
      <c r="N17" s="1370"/>
      <c r="O17" s="1370"/>
      <c r="P17" s="1370"/>
      <c r="Q17" s="1368">
        <f t="shared" si="0"/>
        <v>0</v>
      </c>
      <c r="R17" s="1368"/>
      <c r="S17" s="1412"/>
      <c r="T17" s="1368"/>
      <c r="U17" s="1412"/>
      <c r="V17" s="1367"/>
      <c r="W17" s="1410">
        <f t="shared" si="1"/>
        <v>0</v>
      </c>
    </row>
    <row r="18" spans="1:23">
      <c r="A18" s="1386" t="s">
        <v>382</v>
      </c>
      <c r="B18" s="1411"/>
      <c r="C18" s="1370"/>
      <c r="D18" s="1370"/>
      <c r="E18" s="1370"/>
      <c r="F18" s="1370"/>
      <c r="G18" s="1370"/>
      <c r="H18" s="1370"/>
      <c r="I18" s="1370"/>
      <c r="J18" s="1370"/>
      <c r="K18" s="1370"/>
      <c r="L18" s="1370"/>
      <c r="M18" s="1370"/>
      <c r="N18" s="1370"/>
      <c r="O18" s="1370"/>
      <c r="P18" s="1370"/>
      <c r="Q18" s="1368">
        <f t="shared" si="0"/>
        <v>0</v>
      </c>
      <c r="R18" s="1368"/>
      <c r="S18" s="1412"/>
      <c r="T18" s="1368"/>
      <c r="U18" s="1412"/>
      <c r="V18" s="1367"/>
      <c r="W18" s="1410">
        <f t="shared" si="1"/>
        <v>0</v>
      </c>
    </row>
    <row r="19" spans="1:23">
      <c r="A19" s="1386" t="s">
        <v>382</v>
      </c>
      <c r="B19" s="1411"/>
      <c r="C19" s="1370"/>
      <c r="D19" s="1370"/>
      <c r="E19" s="1370"/>
      <c r="F19" s="1370"/>
      <c r="G19" s="1370"/>
      <c r="H19" s="1370"/>
      <c r="I19" s="1370"/>
      <c r="J19" s="1370"/>
      <c r="K19" s="1370"/>
      <c r="L19" s="1370"/>
      <c r="M19" s="1370"/>
      <c r="N19" s="1370"/>
      <c r="O19" s="1370"/>
      <c r="P19" s="1370"/>
      <c r="Q19" s="1368">
        <f t="shared" si="0"/>
        <v>0</v>
      </c>
      <c r="R19" s="1368"/>
      <c r="S19" s="1412"/>
      <c r="T19" s="1368"/>
      <c r="U19" s="1412"/>
      <c r="V19" s="1367"/>
      <c r="W19" s="1410">
        <f t="shared" si="1"/>
        <v>0</v>
      </c>
    </row>
    <row r="20" spans="1:23">
      <c r="A20" s="1386" t="s">
        <v>382</v>
      </c>
      <c r="B20" s="1411"/>
      <c r="C20" s="1370"/>
      <c r="D20" s="1370"/>
      <c r="E20" s="1370"/>
      <c r="F20" s="1370"/>
      <c r="G20" s="1370"/>
      <c r="H20" s="1370"/>
      <c r="I20" s="1370"/>
      <c r="J20" s="1370"/>
      <c r="K20" s="1370"/>
      <c r="L20" s="1370"/>
      <c r="M20" s="1370"/>
      <c r="N20" s="1370"/>
      <c r="O20" s="1370"/>
      <c r="P20" s="1370"/>
      <c r="Q20" s="1368">
        <f t="shared" si="0"/>
        <v>0</v>
      </c>
      <c r="R20" s="1368"/>
      <c r="S20" s="1412"/>
      <c r="T20" s="1368"/>
      <c r="U20" s="1412"/>
      <c r="V20" s="1367"/>
      <c r="W20" s="1410">
        <f t="shared" si="1"/>
        <v>0</v>
      </c>
    </row>
    <row r="21" spans="1:23">
      <c r="A21" s="1386" t="s">
        <v>382</v>
      </c>
      <c r="B21" s="1411"/>
      <c r="C21" s="1370"/>
      <c r="D21" s="1370"/>
      <c r="E21" s="1370"/>
      <c r="F21" s="1370"/>
      <c r="G21" s="1370"/>
      <c r="H21" s="1370"/>
      <c r="I21" s="1370"/>
      <c r="J21" s="1370"/>
      <c r="K21" s="1370"/>
      <c r="L21" s="1370"/>
      <c r="M21" s="1370"/>
      <c r="N21" s="1370"/>
      <c r="O21" s="1370"/>
      <c r="P21" s="1370"/>
      <c r="Q21" s="1368">
        <f t="shared" si="0"/>
        <v>0</v>
      </c>
      <c r="R21" s="1368"/>
      <c r="S21" s="1412"/>
      <c r="T21" s="1368"/>
      <c r="U21" s="1412"/>
      <c r="V21" s="1367"/>
      <c r="W21" s="1410">
        <f t="shared" si="1"/>
        <v>0</v>
      </c>
    </row>
    <row r="22" spans="1:23">
      <c r="A22" s="1386" t="s">
        <v>382</v>
      </c>
      <c r="B22" s="1411"/>
      <c r="C22" s="1370"/>
      <c r="D22" s="1370"/>
      <c r="E22" s="1370"/>
      <c r="F22" s="1370"/>
      <c r="G22" s="1370"/>
      <c r="H22" s="1370"/>
      <c r="I22" s="1370"/>
      <c r="J22" s="1370"/>
      <c r="K22" s="1370"/>
      <c r="L22" s="1370"/>
      <c r="M22" s="1370"/>
      <c r="N22" s="1370"/>
      <c r="O22" s="1370"/>
      <c r="P22" s="1370"/>
      <c r="Q22" s="1368">
        <f t="shared" si="0"/>
        <v>0</v>
      </c>
      <c r="R22" s="1368"/>
      <c r="S22" s="1412"/>
      <c r="T22" s="1368"/>
      <c r="U22" s="1412"/>
      <c r="V22" s="1367"/>
      <c r="W22" s="1410">
        <f t="shared" si="1"/>
        <v>0</v>
      </c>
    </row>
    <row r="23" spans="1:23">
      <c r="A23" s="1386" t="s">
        <v>382</v>
      </c>
      <c r="B23" s="1411"/>
      <c r="C23" s="1370"/>
      <c r="D23" s="1370"/>
      <c r="E23" s="1370"/>
      <c r="F23" s="1370"/>
      <c r="G23" s="1370"/>
      <c r="H23" s="1370"/>
      <c r="I23" s="1370"/>
      <c r="J23" s="1370"/>
      <c r="K23" s="1370"/>
      <c r="L23" s="1370"/>
      <c r="M23" s="1370"/>
      <c r="N23" s="1370"/>
      <c r="O23" s="1370"/>
      <c r="P23" s="1370"/>
      <c r="Q23" s="1368">
        <f t="shared" si="0"/>
        <v>0</v>
      </c>
      <c r="R23" s="1368"/>
      <c r="S23" s="1412"/>
      <c r="T23" s="1368"/>
      <c r="U23" s="1412"/>
      <c r="V23" s="1367"/>
      <c r="W23" s="1410">
        <f t="shared" si="1"/>
        <v>0</v>
      </c>
    </row>
    <row r="24" spans="1:23">
      <c r="A24" s="1386" t="s">
        <v>382</v>
      </c>
      <c r="B24" s="1411"/>
      <c r="C24" s="1370"/>
      <c r="D24" s="1370"/>
      <c r="E24" s="1370"/>
      <c r="F24" s="1370"/>
      <c r="G24" s="1370"/>
      <c r="H24" s="1370"/>
      <c r="I24" s="1370"/>
      <c r="J24" s="1370"/>
      <c r="K24" s="1370"/>
      <c r="L24" s="1370"/>
      <c r="M24" s="1370"/>
      <c r="N24" s="1370"/>
      <c r="O24" s="1370"/>
      <c r="P24" s="1370"/>
      <c r="Q24" s="1368">
        <f t="shared" si="0"/>
        <v>0</v>
      </c>
      <c r="R24" s="1368"/>
      <c r="S24" s="1412"/>
      <c r="T24" s="1368"/>
      <c r="U24" s="1412"/>
      <c r="V24" s="1367"/>
      <c r="W24" s="1410">
        <f t="shared" si="1"/>
        <v>0</v>
      </c>
    </row>
    <row r="25" spans="1:23">
      <c r="A25" s="1386" t="s">
        <v>382</v>
      </c>
      <c r="B25" s="1411"/>
      <c r="C25" s="1370"/>
      <c r="D25" s="1370"/>
      <c r="E25" s="1370"/>
      <c r="F25" s="1370"/>
      <c r="G25" s="1370"/>
      <c r="H25" s="1370"/>
      <c r="I25" s="1370"/>
      <c r="J25" s="1370"/>
      <c r="K25" s="1370"/>
      <c r="L25" s="1370"/>
      <c r="M25" s="1370"/>
      <c r="N25" s="1370"/>
      <c r="O25" s="1370"/>
      <c r="P25" s="1370"/>
      <c r="Q25" s="1368">
        <f t="shared" si="0"/>
        <v>0</v>
      </c>
      <c r="R25" s="1368"/>
      <c r="S25" s="1412"/>
      <c r="T25" s="1368"/>
      <c r="U25" s="1412"/>
      <c r="V25" s="1367"/>
      <c r="W25" s="1410">
        <f t="shared" si="1"/>
        <v>0</v>
      </c>
    </row>
    <row r="26" spans="1:23">
      <c r="A26" s="1386" t="s">
        <v>382</v>
      </c>
      <c r="B26" s="1411"/>
      <c r="C26" s="1370"/>
      <c r="D26" s="1370"/>
      <c r="E26" s="1370"/>
      <c r="F26" s="1370"/>
      <c r="G26" s="1370"/>
      <c r="H26" s="1370"/>
      <c r="I26" s="1370"/>
      <c r="J26" s="1370"/>
      <c r="K26" s="1370"/>
      <c r="L26" s="1370"/>
      <c r="M26" s="1370"/>
      <c r="N26" s="1370"/>
      <c r="O26" s="1370"/>
      <c r="P26" s="1370"/>
      <c r="Q26" s="1368">
        <f t="shared" si="0"/>
        <v>0</v>
      </c>
      <c r="R26" s="1368"/>
      <c r="S26" s="1412"/>
      <c r="T26" s="1368"/>
      <c r="U26" s="1412"/>
      <c r="V26" s="1367"/>
      <c r="W26" s="1410">
        <f t="shared" si="1"/>
        <v>0</v>
      </c>
    </row>
    <row r="27" spans="1:23">
      <c r="A27" s="1386" t="s">
        <v>382</v>
      </c>
      <c r="B27" s="1411"/>
      <c r="C27" s="1370"/>
      <c r="D27" s="1370"/>
      <c r="E27" s="1370"/>
      <c r="F27" s="1370"/>
      <c r="G27" s="1370"/>
      <c r="H27" s="1370"/>
      <c r="I27" s="1370"/>
      <c r="J27" s="1370"/>
      <c r="K27" s="1370"/>
      <c r="L27" s="1370"/>
      <c r="M27" s="1370"/>
      <c r="N27" s="1370"/>
      <c r="O27" s="1370"/>
      <c r="P27" s="1370"/>
      <c r="Q27" s="1368">
        <f t="shared" si="0"/>
        <v>0</v>
      </c>
      <c r="R27" s="1368"/>
      <c r="S27" s="1412"/>
      <c r="T27" s="1368"/>
      <c r="U27" s="1412"/>
      <c r="V27" s="1367"/>
      <c r="W27" s="1410">
        <f t="shared" si="1"/>
        <v>0</v>
      </c>
    </row>
    <row r="28" spans="1:23">
      <c r="A28" s="1386" t="s">
        <v>382</v>
      </c>
      <c r="B28" s="1411"/>
      <c r="C28" s="1370"/>
      <c r="D28" s="1370"/>
      <c r="E28" s="1370"/>
      <c r="F28" s="1370"/>
      <c r="G28" s="1370"/>
      <c r="H28" s="1370"/>
      <c r="I28" s="1370"/>
      <c r="J28" s="1370"/>
      <c r="K28" s="1370"/>
      <c r="L28" s="1370"/>
      <c r="M28" s="1370"/>
      <c r="N28" s="1370"/>
      <c r="O28" s="1370"/>
      <c r="P28" s="1370"/>
      <c r="Q28" s="1368">
        <f t="shared" si="0"/>
        <v>0</v>
      </c>
      <c r="R28" s="1368"/>
      <c r="S28" s="1412"/>
      <c r="T28" s="1368"/>
      <c r="U28" s="1412"/>
      <c r="V28" s="1367"/>
      <c r="W28" s="1410">
        <f t="shared" si="1"/>
        <v>0</v>
      </c>
    </row>
    <row r="29" spans="1:23">
      <c r="A29" s="1386" t="s">
        <v>382</v>
      </c>
      <c r="B29" s="1411"/>
      <c r="C29" s="1370"/>
      <c r="D29" s="1370"/>
      <c r="E29" s="1370"/>
      <c r="F29" s="1370"/>
      <c r="G29" s="1370"/>
      <c r="H29" s="1370"/>
      <c r="I29" s="1370"/>
      <c r="J29" s="1370"/>
      <c r="K29" s="1370"/>
      <c r="L29" s="1370"/>
      <c r="M29" s="1370"/>
      <c r="N29" s="1370"/>
      <c r="O29" s="1370"/>
      <c r="P29" s="1370"/>
      <c r="Q29" s="1368">
        <f t="shared" si="0"/>
        <v>0</v>
      </c>
      <c r="R29" s="1368"/>
      <c r="S29" s="1412"/>
      <c r="T29" s="1368"/>
      <c r="U29" s="1412"/>
      <c r="V29" s="1367"/>
      <c r="W29" s="1410">
        <f t="shared" si="1"/>
        <v>0</v>
      </c>
    </row>
    <row r="30" spans="1:23">
      <c r="A30" s="1386" t="s">
        <v>382</v>
      </c>
      <c r="B30" s="1411"/>
      <c r="C30" s="1370"/>
      <c r="D30" s="1370"/>
      <c r="E30" s="1370"/>
      <c r="F30" s="1370"/>
      <c r="G30" s="1370"/>
      <c r="H30" s="1370"/>
      <c r="I30" s="1370"/>
      <c r="J30" s="1370"/>
      <c r="K30" s="1370"/>
      <c r="L30" s="1370"/>
      <c r="M30" s="1370"/>
      <c r="N30" s="1370"/>
      <c r="O30" s="1370"/>
      <c r="P30" s="1370"/>
      <c r="Q30" s="1368">
        <f t="shared" si="0"/>
        <v>0</v>
      </c>
      <c r="R30" s="1368"/>
      <c r="S30" s="1412"/>
      <c r="T30" s="1368"/>
      <c r="U30" s="1412"/>
      <c r="V30" s="1367"/>
      <c r="W30" s="1410">
        <f t="shared" si="1"/>
        <v>0</v>
      </c>
    </row>
    <row r="31" spans="1:23">
      <c r="A31" s="1386" t="s">
        <v>316</v>
      </c>
      <c r="B31" s="1411"/>
      <c r="C31" s="1370"/>
      <c r="D31" s="1370"/>
      <c r="E31" s="1370"/>
      <c r="F31" s="1370"/>
      <c r="G31" s="1370"/>
      <c r="H31" s="1370"/>
      <c r="I31" s="1370"/>
      <c r="J31" s="1370"/>
      <c r="K31" s="1370"/>
      <c r="L31" s="1370"/>
      <c r="M31" s="1370"/>
      <c r="N31" s="1370"/>
      <c r="O31" s="1370"/>
      <c r="P31" s="1370"/>
      <c r="Q31" s="1368">
        <f t="shared" si="0"/>
        <v>0</v>
      </c>
      <c r="R31" s="1368"/>
      <c r="S31" s="1412"/>
      <c r="T31" s="1368"/>
      <c r="U31" s="1412"/>
      <c r="V31" s="1367"/>
      <c r="W31" s="1410">
        <f t="shared" si="1"/>
        <v>0</v>
      </c>
    </row>
    <row r="32" spans="1:23" ht="15" customHeight="1">
      <c r="A32" s="1386">
        <v>2</v>
      </c>
      <c r="E32" s="1414"/>
      <c r="F32" s="1414"/>
      <c r="G32" s="1414"/>
      <c r="H32" s="1414"/>
      <c r="I32" s="1414"/>
      <c r="J32" s="1414"/>
      <c r="K32" s="1414"/>
      <c r="L32" s="1414"/>
      <c r="M32" s="1414"/>
      <c r="N32" s="1633" t="s">
        <v>992</v>
      </c>
      <c r="O32" s="1633"/>
      <c r="P32" s="1633"/>
      <c r="Q32" s="1415">
        <f>SUM(Q7:Q31)</f>
        <v>0</v>
      </c>
      <c r="R32" s="1376"/>
      <c r="S32" s="1633" t="s">
        <v>993</v>
      </c>
      <c r="T32" s="1633"/>
      <c r="U32" s="1633"/>
      <c r="V32" s="1633"/>
      <c r="W32" s="1416">
        <f>SUM(W7:W31)</f>
        <v>0</v>
      </c>
    </row>
    <row r="33" spans="1:26">
      <c r="A33" s="1366"/>
      <c r="B33" s="1396"/>
      <c r="C33" s="1413" t="s">
        <v>880</v>
      </c>
      <c r="E33" s="1413"/>
      <c r="V33" s="1392"/>
      <c r="W33" s="1394"/>
    </row>
    <row r="34" spans="1:26" ht="12" customHeight="1">
      <c r="A34" s="1366"/>
      <c r="B34" s="1400" t="s">
        <v>10</v>
      </c>
      <c r="C34" s="1631" t="s">
        <v>994</v>
      </c>
      <c r="D34" s="1631"/>
      <c r="E34" s="1631"/>
      <c r="F34" s="1631"/>
      <c r="G34" s="1631"/>
      <c r="H34" s="1631"/>
      <c r="I34" s="1631"/>
      <c r="J34" s="1631"/>
      <c r="K34" s="1417"/>
      <c r="L34" s="1632"/>
      <c r="M34" s="1632"/>
      <c r="N34" s="1632"/>
      <c r="O34" s="1632"/>
      <c r="P34" s="1632"/>
      <c r="Q34" s="1632"/>
      <c r="R34" s="1632"/>
      <c r="S34" s="1632"/>
      <c r="T34" s="1632"/>
      <c r="U34" s="1632"/>
      <c r="V34" s="1632"/>
      <c r="W34" s="1632"/>
      <c r="X34" s="1418"/>
      <c r="Y34" s="1418"/>
    </row>
    <row r="35" spans="1:26" ht="12" customHeight="1">
      <c r="A35" s="1366"/>
      <c r="B35" s="1400"/>
      <c r="C35" s="1631"/>
      <c r="D35" s="1631"/>
      <c r="E35" s="1631"/>
      <c r="F35" s="1631"/>
      <c r="G35" s="1631"/>
      <c r="H35" s="1631"/>
      <c r="I35" s="1631"/>
      <c r="J35" s="1631"/>
      <c r="L35" s="1632"/>
      <c r="M35" s="1632"/>
      <c r="N35" s="1632"/>
      <c r="O35" s="1632"/>
      <c r="P35" s="1632"/>
      <c r="Q35" s="1632"/>
      <c r="R35" s="1632"/>
      <c r="S35" s="1632"/>
      <c r="T35" s="1632"/>
      <c r="U35" s="1632"/>
      <c r="V35" s="1632"/>
      <c r="W35" s="1632"/>
      <c r="X35" s="1418"/>
      <c r="Y35" s="1419"/>
    </row>
    <row r="36" spans="1:26">
      <c r="A36" s="1366"/>
      <c r="B36" s="1400"/>
      <c r="C36" s="1631"/>
      <c r="D36" s="1631"/>
      <c r="E36" s="1631"/>
      <c r="F36" s="1631"/>
      <c r="G36" s="1631"/>
      <c r="H36" s="1631"/>
      <c r="I36" s="1631"/>
      <c r="J36" s="1631"/>
      <c r="K36" s="1420"/>
      <c r="L36" s="1632"/>
      <c r="M36" s="1632"/>
      <c r="N36" s="1632"/>
      <c r="O36" s="1632"/>
      <c r="P36" s="1632"/>
      <c r="Q36" s="1632"/>
      <c r="R36" s="1632"/>
      <c r="S36" s="1632"/>
      <c r="T36" s="1632"/>
      <c r="U36" s="1632"/>
      <c r="V36" s="1632"/>
      <c r="W36" s="1632"/>
      <c r="X36" s="1418"/>
      <c r="Y36" s="1419"/>
      <c r="Z36" s="1419"/>
    </row>
    <row r="37" spans="1:26" ht="11.25" customHeight="1">
      <c r="A37" s="1400"/>
      <c r="C37" s="1631"/>
      <c r="D37" s="1631"/>
      <c r="E37" s="1631"/>
      <c r="F37" s="1631"/>
      <c r="G37" s="1631"/>
      <c r="H37" s="1631"/>
      <c r="I37" s="1631"/>
      <c r="J37" s="1631"/>
      <c r="K37" s="1366"/>
      <c r="L37" s="1366"/>
      <c r="M37" s="1366"/>
      <c r="N37" s="1366"/>
      <c r="O37" s="1366"/>
      <c r="P37" s="1366"/>
      <c r="Q37" s="1366"/>
      <c r="R37" s="1366"/>
      <c r="S37" s="1366"/>
      <c r="T37" s="1366"/>
      <c r="U37" s="1366"/>
      <c r="V37" s="1366"/>
    </row>
    <row r="38" spans="1:26" ht="11.25" customHeight="1">
      <c r="A38" s="1400"/>
      <c r="C38" s="1631"/>
      <c r="D38" s="1631"/>
      <c r="E38" s="1631"/>
      <c r="F38" s="1631"/>
      <c r="G38" s="1631"/>
      <c r="H38" s="1631"/>
      <c r="I38" s="1631"/>
      <c r="J38" s="1631"/>
      <c r="K38" s="1366"/>
      <c r="L38" s="1366"/>
      <c r="M38" s="1366"/>
      <c r="N38" s="1366"/>
      <c r="O38" s="1366"/>
      <c r="P38" s="1366"/>
      <c r="Q38" s="1366"/>
      <c r="R38" s="1366"/>
      <c r="S38" s="1366"/>
      <c r="T38" s="1366"/>
      <c r="U38" s="1366"/>
      <c r="V38" s="1366"/>
    </row>
    <row r="39" spans="1:26" ht="11.25" customHeight="1">
      <c r="A39" s="1396"/>
      <c r="J39" s="1418"/>
      <c r="K39" s="1366"/>
      <c r="L39" s="1366"/>
      <c r="M39" s="1366"/>
      <c r="N39" s="1366"/>
      <c r="O39" s="1366"/>
      <c r="P39" s="1366"/>
      <c r="Q39" s="1366"/>
      <c r="R39" s="1366"/>
      <c r="S39" s="1366"/>
      <c r="T39" s="1366"/>
      <c r="U39" s="1366"/>
      <c r="V39" s="1366"/>
    </row>
    <row r="40" spans="1:26">
      <c r="A40" s="1396"/>
      <c r="V40" s="1366"/>
    </row>
    <row r="41" spans="1:26">
      <c r="A41" s="1396"/>
      <c r="V41" s="1366"/>
    </row>
    <row r="42" spans="1:26">
      <c r="A42" s="1396"/>
      <c r="V42" s="1366"/>
    </row>
    <row r="43" spans="1:26">
      <c r="A43" s="1396"/>
      <c r="V43" s="1366"/>
    </row>
  </sheetData>
  <mergeCells count="14">
    <mergeCell ref="A5:A6"/>
    <mergeCell ref="B5:B6"/>
    <mergeCell ref="C5:C6"/>
    <mergeCell ref="Q5:Q6"/>
    <mergeCell ref="R5:R6"/>
    <mergeCell ref="C34:J38"/>
    <mergeCell ref="L34:W36"/>
    <mergeCell ref="T5:T6"/>
    <mergeCell ref="U5:U6"/>
    <mergeCell ref="V5:V6"/>
    <mergeCell ref="W5:W6"/>
    <mergeCell ref="N32:P32"/>
    <mergeCell ref="S32:V32"/>
    <mergeCell ref="S5:S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AC46"/>
  <sheetViews>
    <sheetView tabSelected="1" topLeftCell="D1" workbookViewId="0">
      <selection activeCell="Y46" sqref="Y46"/>
    </sheetView>
  </sheetViews>
  <sheetFormatPr defaultColWidth="7" defaultRowHeight="11.25"/>
  <cols>
    <col min="1" max="2" width="2.77734375" style="1386" customWidth="1"/>
    <col min="3" max="3" width="48.5546875" style="1366" customWidth="1"/>
    <col min="4" max="4" width="12.44140625" style="1366" customWidth="1"/>
    <col min="5" max="5" width="10.77734375" style="1366" customWidth="1"/>
    <col min="6" max="6" width="9.109375" style="1366" customWidth="1"/>
    <col min="7" max="7" width="9.77734375" style="1366" customWidth="1"/>
    <col min="8" max="16" width="7.77734375" style="1366" customWidth="1"/>
    <col min="17" max="17" width="7.77734375" style="1386" customWidth="1"/>
    <col min="18" max="18" width="7.77734375" style="1392" customWidth="1"/>
    <col min="19" max="19" width="7.77734375" style="1393" customWidth="1"/>
    <col min="20" max="20" width="7.77734375" style="1394" customWidth="1"/>
    <col min="21" max="21" width="10.77734375" style="1395" bestFit="1" customWidth="1"/>
    <col min="22" max="22" width="1.21875" style="1440" customWidth="1"/>
    <col min="23" max="23" width="10.21875" style="1386" customWidth="1"/>
    <col min="24" max="24" width="1.21875" style="1440" customWidth="1"/>
    <col min="25" max="25" width="7.77734375" style="1386" customWidth="1"/>
    <col min="26" max="26" width="8.109375" style="1366" customWidth="1"/>
    <col min="27" max="27" width="1.21875" style="1386" customWidth="1"/>
    <col min="28" max="28" width="8.21875" style="1366" customWidth="1"/>
    <col min="29" max="29" width="1.21875" style="1386" customWidth="1"/>
    <col min="30" max="30" width="6.77734375" style="1366" customWidth="1"/>
    <col min="31" max="31" width="1.44140625" style="1366" customWidth="1"/>
    <col min="32" max="32" width="7.109375" style="1366" customWidth="1"/>
    <col min="33" max="16384" width="7" style="1366"/>
  </cols>
  <sheetData>
    <row r="1" spans="1:29" ht="15">
      <c r="A1" s="1246" t="s">
        <v>1070</v>
      </c>
      <c r="H1" s="1246" t="s">
        <v>1070</v>
      </c>
      <c r="U1" s="1246" t="s">
        <v>1070</v>
      </c>
    </row>
    <row r="2" spans="1:29" ht="15.75">
      <c r="A2" s="1246" t="s">
        <v>1069</v>
      </c>
      <c r="H2" s="1246" t="s">
        <v>1069</v>
      </c>
      <c r="U2" s="1246" t="s">
        <v>1069</v>
      </c>
    </row>
    <row r="4" spans="1:29" s="1352" customFormat="1">
      <c r="C4" s="1352" t="s">
        <v>461</v>
      </c>
      <c r="D4" s="1352" t="s">
        <v>593</v>
      </c>
      <c r="E4" s="1352" t="s">
        <v>841</v>
      </c>
      <c r="F4" s="1352" t="s">
        <v>591</v>
      </c>
      <c r="G4" s="1352" t="s">
        <v>842</v>
      </c>
      <c r="H4" s="1352" t="s">
        <v>589</v>
      </c>
      <c r="I4" s="1352" t="s">
        <v>588</v>
      </c>
      <c r="J4" s="1352" t="s">
        <v>587</v>
      </c>
      <c r="K4" s="1352" t="s">
        <v>850</v>
      </c>
      <c r="L4" s="1352" t="s">
        <v>851</v>
      </c>
      <c r="M4" s="1352" t="s">
        <v>852</v>
      </c>
      <c r="N4" s="1352" t="s">
        <v>853</v>
      </c>
      <c r="O4" s="1352" t="s">
        <v>854</v>
      </c>
      <c r="P4" s="1353" t="s">
        <v>855</v>
      </c>
      <c r="Q4" s="1352" t="s">
        <v>856</v>
      </c>
      <c r="R4" s="1354" t="s">
        <v>857</v>
      </c>
      <c r="S4" s="1352" t="s">
        <v>858</v>
      </c>
      <c r="T4" s="1352" t="s">
        <v>859</v>
      </c>
      <c r="U4" s="1352" t="s">
        <v>860</v>
      </c>
      <c r="W4" s="1352" t="s">
        <v>861</v>
      </c>
      <c r="Y4" s="1352" t="s">
        <v>862</v>
      </c>
    </row>
    <row r="5" spans="1:29" s="1359" customFormat="1" ht="41.25" customHeight="1">
      <c r="A5" s="1637" t="s">
        <v>17</v>
      </c>
      <c r="B5" s="1432"/>
      <c r="C5" s="1637" t="s">
        <v>395</v>
      </c>
      <c r="D5" s="1637" t="s">
        <v>1010</v>
      </c>
      <c r="E5" s="1637" t="s">
        <v>863</v>
      </c>
      <c r="F5" s="1637" t="s">
        <v>864</v>
      </c>
      <c r="G5" s="1637" t="s">
        <v>865</v>
      </c>
      <c r="H5" s="1403" t="s">
        <v>866</v>
      </c>
      <c r="I5" s="1358" t="s">
        <v>867</v>
      </c>
      <c r="J5" s="1358" t="s">
        <v>868</v>
      </c>
      <c r="K5" s="1358" t="s">
        <v>869</v>
      </c>
      <c r="L5" s="1358" t="s">
        <v>870</v>
      </c>
      <c r="M5" s="1358" t="s">
        <v>871</v>
      </c>
      <c r="N5" s="1358" t="s">
        <v>870</v>
      </c>
      <c r="O5" s="1358" t="s">
        <v>872</v>
      </c>
      <c r="P5" s="1358" t="s">
        <v>873</v>
      </c>
      <c r="Q5" s="1358" t="s">
        <v>874</v>
      </c>
      <c r="R5" s="1358" t="s">
        <v>875</v>
      </c>
      <c r="S5" s="1358" t="s">
        <v>876</v>
      </c>
      <c r="T5" s="1358" t="s">
        <v>866</v>
      </c>
      <c r="U5" s="1637" t="s">
        <v>877</v>
      </c>
      <c r="V5" s="1637" t="s">
        <v>847</v>
      </c>
      <c r="W5" s="1637" t="s">
        <v>878</v>
      </c>
      <c r="X5" s="1637" t="s">
        <v>66</v>
      </c>
      <c r="Y5" s="1637" t="s">
        <v>879</v>
      </c>
    </row>
    <row r="6" spans="1:29" s="1359" customFormat="1" ht="11.25" customHeight="1">
      <c r="A6" s="1629"/>
      <c r="B6" s="1422"/>
      <c r="C6" s="1629"/>
      <c r="D6" s="1629"/>
      <c r="E6" s="1629" t="s">
        <v>863</v>
      </c>
      <c r="F6" s="1629"/>
      <c r="G6" s="1629"/>
      <c r="H6" s="1455" t="s">
        <v>1097</v>
      </c>
      <c r="I6" s="1456" t="s">
        <v>1108</v>
      </c>
      <c r="J6" s="1456" t="s">
        <v>1108</v>
      </c>
      <c r="K6" s="1456" t="s">
        <v>1108</v>
      </c>
      <c r="L6" s="1456" t="s">
        <v>1108</v>
      </c>
      <c r="M6" s="1456" t="s">
        <v>1108</v>
      </c>
      <c r="N6" s="1456" t="s">
        <v>1108</v>
      </c>
      <c r="O6" s="1456" t="s">
        <v>1108</v>
      </c>
      <c r="P6" s="1456" t="s">
        <v>1108</v>
      </c>
      <c r="Q6" s="1456" t="s">
        <v>1108</v>
      </c>
      <c r="R6" s="1456" t="s">
        <v>1108</v>
      </c>
      <c r="S6" s="1456" t="s">
        <v>1108</v>
      </c>
      <c r="T6" s="1456" t="s">
        <v>1108</v>
      </c>
      <c r="U6" s="1629"/>
      <c r="V6" s="1629"/>
      <c r="W6" s="1629"/>
      <c r="X6" s="1629"/>
      <c r="Y6" s="1629"/>
    </row>
    <row r="7" spans="1:29">
      <c r="A7" s="1409" t="s">
        <v>313</v>
      </c>
      <c r="B7" s="1409"/>
      <c r="C7" s="1446"/>
      <c r="D7" s="1447"/>
      <c r="E7" s="1448"/>
      <c r="F7" s="1448"/>
      <c r="G7" s="1449"/>
      <c r="H7" s="1450"/>
      <c r="I7" s="1450"/>
      <c r="J7" s="1450"/>
      <c r="K7" s="1450"/>
      <c r="L7" s="1450"/>
      <c r="M7" s="1450"/>
      <c r="N7" s="1450"/>
      <c r="O7" s="1450"/>
      <c r="P7" s="1450"/>
      <c r="Q7" s="1450"/>
      <c r="R7" s="1450"/>
      <c r="S7" s="1450"/>
      <c r="T7" s="1450"/>
      <c r="U7" s="1407">
        <f t="shared" ref="U7:U31" si="0">SUM(H7:T7)/13</f>
        <v>0</v>
      </c>
      <c r="V7" s="1433"/>
      <c r="W7" s="1444">
        <v>0</v>
      </c>
      <c r="X7" s="1433"/>
      <c r="Y7" s="1410">
        <f t="shared" ref="Y7:Y31" si="1">U7*W7</f>
        <v>0</v>
      </c>
      <c r="AA7" s="1366"/>
      <c r="AC7" s="1366"/>
    </row>
    <row r="8" spans="1:29">
      <c r="A8" s="1367" t="s">
        <v>881</v>
      </c>
      <c r="B8" s="1367"/>
      <c r="C8" s="1446"/>
      <c r="D8" s="1446"/>
      <c r="E8" s="1451"/>
      <c r="F8" s="1451"/>
      <c r="G8" s="1449"/>
      <c r="H8" s="1452"/>
      <c r="I8" s="1452"/>
      <c r="J8" s="1452"/>
      <c r="K8" s="1452"/>
      <c r="L8" s="1452"/>
      <c r="M8" s="1452"/>
      <c r="N8" s="1452"/>
      <c r="O8" s="1452"/>
      <c r="P8" s="1452"/>
      <c r="Q8" s="1452"/>
      <c r="R8" s="1452"/>
      <c r="S8" s="1452"/>
      <c r="T8" s="1452"/>
      <c r="U8" s="1368">
        <f t="shared" si="0"/>
        <v>0</v>
      </c>
      <c r="V8" s="1369"/>
      <c r="W8" s="1445">
        <v>0</v>
      </c>
      <c r="X8" s="1369"/>
      <c r="Y8" s="1434">
        <f t="shared" si="1"/>
        <v>0</v>
      </c>
      <c r="AA8" s="1366"/>
      <c r="AC8" s="1366"/>
    </row>
    <row r="9" spans="1:29">
      <c r="A9" s="1367" t="s">
        <v>882</v>
      </c>
      <c r="B9" s="1367"/>
      <c r="C9" s="1446"/>
      <c r="D9" s="1446"/>
      <c r="E9" s="1446"/>
      <c r="F9" s="1446"/>
      <c r="G9" s="1449"/>
      <c r="H9" s="1452"/>
      <c r="I9" s="1452"/>
      <c r="J9" s="1452"/>
      <c r="K9" s="1452"/>
      <c r="L9" s="1452"/>
      <c r="M9" s="1452"/>
      <c r="N9" s="1452"/>
      <c r="O9" s="1452"/>
      <c r="P9" s="1453"/>
      <c r="Q9" s="1452"/>
      <c r="R9" s="1454"/>
      <c r="S9" s="1452"/>
      <c r="T9" s="1453"/>
      <c r="U9" s="1368">
        <f t="shared" si="0"/>
        <v>0</v>
      </c>
      <c r="V9" s="1369"/>
      <c r="W9" s="1445">
        <v>0</v>
      </c>
      <c r="X9" s="1369"/>
      <c r="Y9" s="1434">
        <f t="shared" si="1"/>
        <v>0</v>
      </c>
      <c r="AA9" s="1366"/>
      <c r="AC9" s="1366"/>
    </row>
    <row r="10" spans="1:29">
      <c r="A10" s="1367" t="s">
        <v>382</v>
      </c>
      <c r="B10" s="1367"/>
      <c r="C10" s="1446"/>
      <c r="D10" s="1446"/>
      <c r="E10" s="1446"/>
      <c r="F10" s="1446"/>
      <c r="G10" s="1449"/>
      <c r="H10" s="1452"/>
      <c r="I10" s="1452"/>
      <c r="J10" s="1452"/>
      <c r="K10" s="1452"/>
      <c r="L10" s="1452"/>
      <c r="M10" s="1452"/>
      <c r="N10" s="1452"/>
      <c r="O10" s="1452"/>
      <c r="P10" s="1453"/>
      <c r="Q10" s="1452"/>
      <c r="R10" s="1454"/>
      <c r="S10" s="1452"/>
      <c r="T10" s="1453"/>
      <c r="U10" s="1368">
        <f t="shared" si="0"/>
        <v>0</v>
      </c>
      <c r="V10" s="1369"/>
      <c r="W10" s="1445">
        <v>0</v>
      </c>
      <c r="X10" s="1369"/>
      <c r="Y10" s="1434">
        <f t="shared" si="1"/>
        <v>0</v>
      </c>
      <c r="AA10" s="1366"/>
      <c r="AC10" s="1366"/>
    </row>
    <row r="11" spans="1:29">
      <c r="A11" s="1367" t="s">
        <v>382</v>
      </c>
      <c r="B11" s="1367"/>
      <c r="C11" s="1446"/>
      <c r="D11" s="1446"/>
      <c r="E11" s="1446"/>
      <c r="F11" s="1446"/>
      <c r="G11" s="1449"/>
      <c r="H11" s="1452"/>
      <c r="I11" s="1452"/>
      <c r="J11" s="1452"/>
      <c r="K11" s="1452"/>
      <c r="L11" s="1452"/>
      <c r="M11" s="1452"/>
      <c r="N11" s="1452"/>
      <c r="O11" s="1452"/>
      <c r="P11" s="1453"/>
      <c r="Q11" s="1452"/>
      <c r="R11" s="1454"/>
      <c r="S11" s="1452"/>
      <c r="T11" s="1453"/>
      <c r="U11" s="1368">
        <f t="shared" si="0"/>
        <v>0</v>
      </c>
      <c r="V11" s="1369"/>
      <c r="W11" s="1445">
        <v>0</v>
      </c>
      <c r="X11" s="1369"/>
      <c r="Y11" s="1434">
        <f t="shared" si="1"/>
        <v>0</v>
      </c>
      <c r="AA11" s="1366"/>
      <c r="AC11" s="1366"/>
    </row>
    <row r="12" spans="1:29">
      <c r="A12" s="1367" t="s">
        <v>382</v>
      </c>
      <c r="B12" s="1367"/>
      <c r="C12" s="1446"/>
      <c r="D12" s="1446"/>
      <c r="E12" s="1446"/>
      <c r="F12" s="1446"/>
      <c r="G12" s="1449"/>
      <c r="H12" s="1452"/>
      <c r="I12" s="1452"/>
      <c r="J12" s="1452"/>
      <c r="K12" s="1452"/>
      <c r="L12" s="1452"/>
      <c r="M12" s="1452"/>
      <c r="N12" s="1452"/>
      <c r="O12" s="1452"/>
      <c r="P12" s="1453"/>
      <c r="Q12" s="1452"/>
      <c r="R12" s="1454"/>
      <c r="S12" s="1452"/>
      <c r="T12" s="1453"/>
      <c r="U12" s="1368">
        <f t="shared" si="0"/>
        <v>0</v>
      </c>
      <c r="V12" s="1369"/>
      <c r="W12" s="1445">
        <v>0</v>
      </c>
      <c r="X12" s="1369"/>
      <c r="Y12" s="1434">
        <f t="shared" si="1"/>
        <v>0</v>
      </c>
      <c r="AA12" s="1366"/>
      <c r="AC12" s="1366"/>
    </row>
    <row r="13" spans="1:29">
      <c r="A13" s="1367" t="s">
        <v>382</v>
      </c>
      <c r="B13" s="1367"/>
      <c r="C13" s="1446"/>
      <c r="D13" s="1446"/>
      <c r="E13" s="1446"/>
      <c r="F13" s="1446"/>
      <c r="G13" s="1449"/>
      <c r="H13" s="1452"/>
      <c r="I13" s="1452"/>
      <c r="J13" s="1452"/>
      <c r="K13" s="1452"/>
      <c r="L13" s="1452"/>
      <c r="M13" s="1452"/>
      <c r="N13" s="1452"/>
      <c r="O13" s="1452"/>
      <c r="P13" s="1453"/>
      <c r="Q13" s="1452"/>
      <c r="R13" s="1454"/>
      <c r="S13" s="1452"/>
      <c r="T13" s="1453"/>
      <c r="U13" s="1368">
        <f t="shared" si="0"/>
        <v>0</v>
      </c>
      <c r="V13" s="1369"/>
      <c r="W13" s="1445">
        <v>0</v>
      </c>
      <c r="X13" s="1369"/>
      <c r="Y13" s="1434">
        <f t="shared" si="1"/>
        <v>0</v>
      </c>
      <c r="AA13" s="1366"/>
      <c r="AC13" s="1366"/>
    </row>
    <row r="14" spans="1:29">
      <c r="A14" s="1367" t="s">
        <v>382</v>
      </c>
      <c r="B14" s="1367"/>
      <c r="C14" s="1446"/>
      <c r="D14" s="1446"/>
      <c r="E14" s="1446"/>
      <c r="F14" s="1446"/>
      <c r="G14" s="1449"/>
      <c r="H14" s="1452"/>
      <c r="I14" s="1452"/>
      <c r="J14" s="1452"/>
      <c r="K14" s="1452"/>
      <c r="L14" s="1452"/>
      <c r="M14" s="1452"/>
      <c r="N14" s="1452"/>
      <c r="O14" s="1452"/>
      <c r="P14" s="1453"/>
      <c r="Q14" s="1452"/>
      <c r="R14" s="1454"/>
      <c r="S14" s="1452"/>
      <c r="T14" s="1453"/>
      <c r="U14" s="1368">
        <f t="shared" si="0"/>
        <v>0</v>
      </c>
      <c r="V14" s="1369"/>
      <c r="W14" s="1445">
        <v>0</v>
      </c>
      <c r="X14" s="1369"/>
      <c r="Y14" s="1434">
        <f t="shared" si="1"/>
        <v>0</v>
      </c>
      <c r="AA14" s="1366"/>
      <c r="AC14" s="1366"/>
    </row>
    <row r="15" spans="1:29">
      <c r="A15" s="1367" t="s">
        <v>382</v>
      </c>
      <c r="B15" s="1367"/>
      <c r="C15" s="1446"/>
      <c r="D15" s="1446"/>
      <c r="E15" s="1446"/>
      <c r="F15" s="1446"/>
      <c r="G15" s="1449"/>
      <c r="H15" s="1452"/>
      <c r="I15" s="1452"/>
      <c r="J15" s="1452"/>
      <c r="K15" s="1452"/>
      <c r="L15" s="1452"/>
      <c r="M15" s="1452"/>
      <c r="N15" s="1452"/>
      <c r="O15" s="1452"/>
      <c r="P15" s="1453"/>
      <c r="Q15" s="1452"/>
      <c r="R15" s="1454"/>
      <c r="S15" s="1452"/>
      <c r="T15" s="1453"/>
      <c r="U15" s="1368">
        <f t="shared" si="0"/>
        <v>0</v>
      </c>
      <c r="V15" s="1369"/>
      <c r="W15" s="1445">
        <v>0</v>
      </c>
      <c r="X15" s="1369"/>
      <c r="Y15" s="1434">
        <f t="shared" si="1"/>
        <v>0</v>
      </c>
      <c r="AA15" s="1366"/>
      <c r="AC15" s="1366"/>
    </row>
    <row r="16" spans="1:29">
      <c r="A16" s="1367" t="s">
        <v>382</v>
      </c>
      <c r="B16" s="1367"/>
      <c r="C16" s="1446"/>
      <c r="D16" s="1446"/>
      <c r="E16" s="1446"/>
      <c r="F16" s="1446"/>
      <c r="G16" s="1449"/>
      <c r="H16" s="1452"/>
      <c r="I16" s="1452"/>
      <c r="J16" s="1452"/>
      <c r="K16" s="1452"/>
      <c r="L16" s="1452"/>
      <c r="M16" s="1452"/>
      <c r="N16" s="1452"/>
      <c r="O16" s="1452"/>
      <c r="P16" s="1453"/>
      <c r="Q16" s="1452"/>
      <c r="R16" s="1454"/>
      <c r="S16" s="1452"/>
      <c r="T16" s="1453"/>
      <c r="U16" s="1368">
        <f t="shared" si="0"/>
        <v>0</v>
      </c>
      <c r="V16" s="1369"/>
      <c r="W16" s="1445">
        <v>0</v>
      </c>
      <c r="X16" s="1369"/>
      <c r="Y16" s="1434">
        <f t="shared" si="1"/>
        <v>0</v>
      </c>
      <c r="AA16" s="1366"/>
      <c r="AC16" s="1366"/>
    </row>
    <row r="17" spans="1:29">
      <c r="A17" s="1367" t="s">
        <v>382</v>
      </c>
      <c r="B17" s="1367"/>
      <c r="C17" s="1446"/>
      <c r="D17" s="1446"/>
      <c r="E17" s="1446"/>
      <c r="F17" s="1446"/>
      <c r="G17" s="1449"/>
      <c r="H17" s="1452"/>
      <c r="I17" s="1452"/>
      <c r="J17" s="1452"/>
      <c r="K17" s="1452"/>
      <c r="L17" s="1452"/>
      <c r="M17" s="1452"/>
      <c r="N17" s="1452"/>
      <c r="O17" s="1452"/>
      <c r="P17" s="1453"/>
      <c r="Q17" s="1452"/>
      <c r="R17" s="1454"/>
      <c r="S17" s="1452"/>
      <c r="T17" s="1453"/>
      <c r="U17" s="1368">
        <f t="shared" si="0"/>
        <v>0</v>
      </c>
      <c r="V17" s="1369"/>
      <c r="W17" s="1445">
        <v>0</v>
      </c>
      <c r="X17" s="1369"/>
      <c r="Y17" s="1434">
        <f t="shared" si="1"/>
        <v>0</v>
      </c>
      <c r="AA17" s="1366"/>
      <c r="AC17" s="1366"/>
    </row>
    <row r="18" spans="1:29">
      <c r="A18" s="1367" t="s">
        <v>382</v>
      </c>
      <c r="B18" s="1367"/>
      <c r="C18" s="1446"/>
      <c r="D18" s="1446"/>
      <c r="E18" s="1446"/>
      <c r="F18" s="1446"/>
      <c r="G18" s="1449"/>
      <c r="H18" s="1452"/>
      <c r="I18" s="1452"/>
      <c r="J18" s="1452"/>
      <c r="K18" s="1452"/>
      <c r="L18" s="1452"/>
      <c r="M18" s="1452"/>
      <c r="N18" s="1452"/>
      <c r="O18" s="1452"/>
      <c r="P18" s="1453"/>
      <c r="Q18" s="1452"/>
      <c r="R18" s="1454"/>
      <c r="S18" s="1452"/>
      <c r="T18" s="1453"/>
      <c r="U18" s="1368">
        <f t="shared" si="0"/>
        <v>0</v>
      </c>
      <c r="V18" s="1369"/>
      <c r="W18" s="1445">
        <v>0</v>
      </c>
      <c r="X18" s="1369"/>
      <c r="Y18" s="1434">
        <f t="shared" si="1"/>
        <v>0</v>
      </c>
      <c r="AA18" s="1366"/>
      <c r="AC18" s="1366"/>
    </row>
    <row r="19" spans="1:29">
      <c r="A19" s="1367" t="s">
        <v>382</v>
      </c>
      <c r="B19" s="1367"/>
      <c r="C19" s="1446"/>
      <c r="D19" s="1446"/>
      <c r="E19" s="1446"/>
      <c r="F19" s="1446"/>
      <c r="G19" s="1449"/>
      <c r="H19" s="1452"/>
      <c r="I19" s="1452"/>
      <c r="J19" s="1452"/>
      <c r="K19" s="1452"/>
      <c r="L19" s="1452"/>
      <c r="M19" s="1452"/>
      <c r="N19" s="1452"/>
      <c r="O19" s="1452"/>
      <c r="P19" s="1453"/>
      <c r="Q19" s="1452"/>
      <c r="R19" s="1454"/>
      <c r="S19" s="1452"/>
      <c r="T19" s="1453"/>
      <c r="U19" s="1368">
        <f t="shared" si="0"/>
        <v>0</v>
      </c>
      <c r="V19" s="1369"/>
      <c r="W19" s="1445">
        <v>0</v>
      </c>
      <c r="X19" s="1369"/>
      <c r="Y19" s="1434">
        <f t="shared" si="1"/>
        <v>0</v>
      </c>
      <c r="AA19" s="1366"/>
      <c r="AC19" s="1366"/>
    </row>
    <row r="20" spans="1:29">
      <c r="A20" s="1367" t="s">
        <v>382</v>
      </c>
      <c r="B20" s="1367"/>
      <c r="C20" s="1446"/>
      <c r="D20" s="1446"/>
      <c r="E20" s="1446"/>
      <c r="F20" s="1446"/>
      <c r="G20" s="1449"/>
      <c r="H20" s="1452"/>
      <c r="I20" s="1452"/>
      <c r="J20" s="1452"/>
      <c r="K20" s="1452"/>
      <c r="L20" s="1452"/>
      <c r="M20" s="1452"/>
      <c r="N20" s="1452"/>
      <c r="O20" s="1452"/>
      <c r="P20" s="1453"/>
      <c r="Q20" s="1452"/>
      <c r="R20" s="1454"/>
      <c r="S20" s="1452"/>
      <c r="T20" s="1453"/>
      <c r="U20" s="1368">
        <f t="shared" si="0"/>
        <v>0</v>
      </c>
      <c r="V20" s="1369"/>
      <c r="W20" s="1445">
        <v>0</v>
      </c>
      <c r="X20" s="1369"/>
      <c r="Y20" s="1434">
        <f t="shared" si="1"/>
        <v>0</v>
      </c>
      <c r="AA20" s="1366"/>
      <c r="AC20" s="1366"/>
    </row>
    <row r="21" spans="1:29">
      <c r="A21" s="1367" t="s">
        <v>382</v>
      </c>
      <c r="B21" s="1367"/>
      <c r="C21" s="1446"/>
      <c r="D21" s="1446"/>
      <c r="E21" s="1446"/>
      <c r="F21" s="1446"/>
      <c r="G21" s="1449"/>
      <c r="H21" s="1452"/>
      <c r="I21" s="1452"/>
      <c r="J21" s="1452"/>
      <c r="K21" s="1452"/>
      <c r="L21" s="1452"/>
      <c r="M21" s="1452"/>
      <c r="N21" s="1452"/>
      <c r="O21" s="1452"/>
      <c r="P21" s="1453"/>
      <c r="Q21" s="1452"/>
      <c r="R21" s="1454"/>
      <c r="S21" s="1452"/>
      <c r="T21" s="1453"/>
      <c r="U21" s="1368">
        <f t="shared" si="0"/>
        <v>0</v>
      </c>
      <c r="V21" s="1369"/>
      <c r="W21" s="1445">
        <v>0</v>
      </c>
      <c r="X21" s="1369"/>
      <c r="Y21" s="1434">
        <f t="shared" si="1"/>
        <v>0</v>
      </c>
      <c r="AA21" s="1366"/>
      <c r="AC21" s="1366"/>
    </row>
    <row r="22" spans="1:29">
      <c r="A22" s="1367" t="s">
        <v>382</v>
      </c>
      <c r="B22" s="1367"/>
      <c r="C22" s="1446"/>
      <c r="D22" s="1446"/>
      <c r="E22" s="1446"/>
      <c r="F22" s="1446"/>
      <c r="G22" s="1449"/>
      <c r="H22" s="1452"/>
      <c r="I22" s="1452"/>
      <c r="J22" s="1452"/>
      <c r="K22" s="1452"/>
      <c r="L22" s="1452"/>
      <c r="M22" s="1452"/>
      <c r="N22" s="1452"/>
      <c r="O22" s="1452"/>
      <c r="P22" s="1453"/>
      <c r="Q22" s="1452"/>
      <c r="R22" s="1454"/>
      <c r="S22" s="1452"/>
      <c r="T22" s="1453"/>
      <c r="U22" s="1368">
        <f t="shared" si="0"/>
        <v>0</v>
      </c>
      <c r="V22" s="1369"/>
      <c r="W22" s="1445">
        <v>0</v>
      </c>
      <c r="X22" s="1369"/>
      <c r="Y22" s="1434">
        <f t="shared" si="1"/>
        <v>0</v>
      </c>
      <c r="AA22" s="1366"/>
      <c r="AC22" s="1366"/>
    </row>
    <row r="23" spans="1:29">
      <c r="A23" s="1367" t="s">
        <v>382</v>
      </c>
      <c r="B23" s="1367"/>
      <c r="C23" s="1446"/>
      <c r="D23" s="1446"/>
      <c r="E23" s="1446"/>
      <c r="F23" s="1446"/>
      <c r="G23" s="1449"/>
      <c r="H23" s="1452"/>
      <c r="I23" s="1452"/>
      <c r="J23" s="1452"/>
      <c r="K23" s="1452"/>
      <c r="L23" s="1452"/>
      <c r="M23" s="1452"/>
      <c r="N23" s="1452"/>
      <c r="O23" s="1452"/>
      <c r="P23" s="1453"/>
      <c r="Q23" s="1452"/>
      <c r="R23" s="1454"/>
      <c r="S23" s="1452"/>
      <c r="T23" s="1453"/>
      <c r="U23" s="1368">
        <f t="shared" si="0"/>
        <v>0</v>
      </c>
      <c r="V23" s="1369"/>
      <c r="W23" s="1445">
        <v>0</v>
      </c>
      <c r="X23" s="1369"/>
      <c r="Y23" s="1434">
        <f t="shared" si="1"/>
        <v>0</v>
      </c>
      <c r="AA23" s="1366"/>
      <c r="AC23" s="1366"/>
    </row>
    <row r="24" spans="1:29">
      <c r="A24" s="1367" t="s">
        <v>382</v>
      </c>
      <c r="B24" s="1367"/>
      <c r="C24" s="1446"/>
      <c r="D24" s="1446"/>
      <c r="E24" s="1446"/>
      <c r="F24" s="1446"/>
      <c r="G24" s="1449"/>
      <c r="H24" s="1452"/>
      <c r="I24" s="1452"/>
      <c r="J24" s="1452"/>
      <c r="K24" s="1452"/>
      <c r="L24" s="1452"/>
      <c r="M24" s="1452"/>
      <c r="N24" s="1452"/>
      <c r="O24" s="1452"/>
      <c r="P24" s="1453"/>
      <c r="Q24" s="1452"/>
      <c r="R24" s="1454"/>
      <c r="S24" s="1452"/>
      <c r="T24" s="1453"/>
      <c r="U24" s="1368">
        <f t="shared" si="0"/>
        <v>0</v>
      </c>
      <c r="V24" s="1367"/>
      <c r="W24" s="1445">
        <v>0</v>
      </c>
      <c r="X24" s="1367"/>
      <c r="Y24" s="1434">
        <f t="shared" si="1"/>
        <v>0</v>
      </c>
      <c r="AA24" s="1366"/>
      <c r="AC24" s="1366"/>
    </row>
    <row r="25" spans="1:29">
      <c r="A25" s="1367" t="s">
        <v>382</v>
      </c>
      <c r="B25" s="1367"/>
      <c r="C25" s="1446"/>
      <c r="D25" s="1446"/>
      <c r="E25" s="1446"/>
      <c r="F25" s="1446"/>
      <c r="G25" s="1449"/>
      <c r="H25" s="1452"/>
      <c r="I25" s="1452"/>
      <c r="J25" s="1452"/>
      <c r="K25" s="1452"/>
      <c r="L25" s="1452"/>
      <c r="M25" s="1452"/>
      <c r="N25" s="1452"/>
      <c r="O25" s="1452"/>
      <c r="P25" s="1453"/>
      <c r="Q25" s="1452"/>
      <c r="R25" s="1454"/>
      <c r="S25" s="1452"/>
      <c r="T25" s="1453"/>
      <c r="U25" s="1368">
        <f t="shared" si="0"/>
        <v>0</v>
      </c>
      <c r="V25" s="1367"/>
      <c r="W25" s="1445">
        <v>0</v>
      </c>
      <c r="X25" s="1367"/>
      <c r="Y25" s="1434">
        <f t="shared" si="1"/>
        <v>0</v>
      </c>
      <c r="AA25" s="1366"/>
      <c r="AC25" s="1366"/>
    </row>
    <row r="26" spans="1:29">
      <c r="A26" s="1367" t="s">
        <v>382</v>
      </c>
      <c r="B26" s="1367"/>
      <c r="C26" s="1446"/>
      <c r="D26" s="1446"/>
      <c r="E26" s="1446"/>
      <c r="F26" s="1446"/>
      <c r="G26" s="1449"/>
      <c r="H26" s="1452"/>
      <c r="I26" s="1452"/>
      <c r="J26" s="1452"/>
      <c r="K26" s="1452"/>
      <c r="L26" s="1452"/>
      <c r="M26" s="1452"/>
      <c r="N26" s="1452"/>
      <c r="O26" s="1452"/>
      <c r="P26" s="1453"/>
      <c r="Q26" s="1452"/>
      <c r="R26" s="1454"/>
      <c r="S26" s="1452"/>
      <c r="T26" s="1453"/>
      <c r="U26" s="1368">
        <f t="shared" si="0"/>
        <v>0</v>
      </c>
      <c r="V26" s="1367"/>
      <c r="W26" s="1445">
        <v>0</v>
      </c>
      <c r="X26" s="1367"/>
      <c r="Y26" s="1434">
        <f t="shared" si="1"/>
        <v>0</v>
      </c>
      <c r="AA26" s="1366"/>
      <c r="AC26" s="1366"/>
    </row>
    <row r="27" spans="1:29">
      <c r="A27" s="1367" t="s">
        <v>382</v>
      </c>
      <c r="B27" s="1367"/>
      <c r="C27" s="1446"/>
      <c r="D27" s="1446"/>
      <c r="E27" s="1446"/>
      <c r="F27" s="1446"/>
      <c r="G27" s="1449"/>
      <c r="H27" s="1452"/>
      <c r="I27" s="1452"/>
      <c r="J27" s="1452"/>
      <c r="K27" s="1452"/>
      <c r="L27" s="1452"/>
      <c r="M27" s="1452"/>
      <c r="N27" s="1452"/>
      <c r="O27" s="1452"/>
      <c r="P27" s="1453"/>
      <c r="Q27" s="1452"/>
      <c r="R27" s="1454"/>
      <c r="S27" s="1452"/>
      <c r="T27" s="1453"/>
      <c r="U27" s="1368">
        <f t="shared" si="0"/>
        <v>0</v>
      </c>
      <c r="V27" s="1367"/>
      <c r="W27" s="1445">
        <v>0</v>
      </c>
      <c r="X27" s="1367"/>
      <c r="Y27" s="1434">
        <f t="shared" si="1"/>
        <v>0</v>
      </c>
      <c r="AA27" s="1366"/>
      <c r="AC27" s="1366"/>
    </row>
    <row r="28" spans="1:29">
      <c r="A28" s="1367" t="s">
        <v>382</v>
      </c>
      <c r="B28" s="1367"/>
      <c r="C28" s="1446"/>
      <c r="D28" s="1446"/>
      <c r="E28" s="1446"/>
      <c r="F28" s="1446"/>
      <c r="G28" s="1449"/>
      <c r="H28" s="1452"/>
      <c r="I28" s="1452"/>
      <c r="J28" s="1452"/>
      <c r="K28" s="1452"/>
      <c r="L28" s="1452"/>
      <c r="M28" s="1452"/>
      <c r="N28" s="1452"/>
      <c r="O28" s="1452"/>
      <c r="P28" s="1453"/>
      <c r="Q28" s="1452"/>
      <c r="R28" s="1454"/>
      <c r="S28" s="1452"/>
      <c r="T28" s="1453"/>
      <c r="U28" s="1368">
        <f t="shared" si="0"/>
        <v>0</v>
      </c>
      <c r="V28" s="1367"/>
      <c r="W28" s="1445">
        <v>0</v>
      </c>
      <c r="X28" s="1367"/>
      <c r="Y28" s="1434">
        <f t="shared" si="1"/>
        <v>0</v>
      </c>
      <c r="AA28" s="1366"/>
      <c r="AC28" s="1366"/>
    </row>
    <row r="29" spans="1:29">
      <c r="A29" s="1367" t="s">
        <v>382</v>
      </c>
      <c r="B29" s="1367"/>
      <c r="C29" s="1446"/>
      <c r="D29" s="1446"/>
      <c r="E29" s="1446"/>
      <c r="F29" s="1446"/>
      <c r="G29" s="1449"/>
      <c r="H29" s="1452"/>
      <c r="I29" s="1452"/>
      <c r="J29" s="1452"/>
      <c r="K29" s="1452"/>
      <c r="L29" s="1452"/>
      <c r="M29" s="1452"/>
      <c r="N29" s="1452"/>
      <c r="O29" s="1452"/>
      <c r="P29" s="1453"/>
      <c r="Q29" s="1452"/>
      <c r="R29" s="1454"/>
      <c r="S29" s="1452"/>
      <c r="T29" s="1453"/>
      <c r="U29" s="1368">
        <f t="shared" si="0"/>
        <v>0</v>
      </c>
      <c r="V29" s="1367"/>
      <c r="W29" s="1445">
        <v>0</v>
      </c>
      <c r="X29" s="1367"/>
      <c r="Y29" s="1434">
        <f t="shared" si="1"/>
        <v>0</v>
      </c>
      <c r="AA29" s="1366"/>
      <c r="AC29" s="1366"/>
    </row>
    <row r="30" spans="1:29">
      <c r="A30" s="1367" t="s">
        <v>382</v>
      </c>
      <c r="B30" s="1367"/>
      <c r="C30" s="1446"/>
      <c r="D30" s="1446"/>
      <c r="E30" s="1446"/>
      <c r="F30" s="1446"/>
      <c r="G30" s="1449"/>
      <c r="H30" s="1452"/>
      <c r="I30" s="1452"/>
      <c r="J30" s="1452"/>
      <c r="K30" s="1452"/>
      <c r="L30" s="1452"/>
      <c r="M30" s="1452"/>
      <c r="N30" s="1452"/>
      <c r="O30" s="1452"/>
      <c r="P30" s="1453"/>
      <c r="Q30" s="1452"/>
      <c r="R30" s="1454"/>
      <c r="S30" s="1452"/>
      <c r="T30" s="1453"/>
      <c r="U30" s="1368">
        <f t="shared" si="0"/>
        <v>0</v>
      </c>
      <c r="V30" s="1367"/>
      <c r="W30" s="1445">
        <v>0</v>
      </c>
      <c r="X30" s="1367"/>
      <c r="Y30" s="1434">
        <f t="shared" si="1"/>
        <v>0</v>
      </c>
      <c r="AA30" s="1366"/>
      <c r="AC30" s="1366"/>
    </row>
    <row r="31" spans="1:29">
      <c r="A31" s="1367" t="s">
        <v>316</v>
      </c>
      <c r="B31" s="1367"/>
      <c r="C31" s="1446"/>
      <c r="D31" s="1446"/>
      <c r="E31" s="1446"/>
      <c r="F31" s="1446"/>
      <c r="G31" s="1449"/>
      <c r="H31" s="1452"/>
      <c r="I31" s="1452"/>
      <c r="J31" s="1452"/>
      <c r="K31" s="1452"/>
      <c r="L31" s="1452"/>
      <c r="M31" s="1452"/>
      <c r="N31" s="1452"/>
      <c r="O31" s="1452"/>
      <c r="P31" s="1453"/>
      <c r="Q31" s="1452"/>
      <c r="R31" s="1454"/>
      <c r="S31" s="1452"/>
      <c r="T31" s="1453"/>
      <c r="U31" s="1368">
        <f t="shared" si="0"/>
        <v>0</v>
      </c>
      <c r="V31" s="1367"/>
      <c r="W31" s="1445">
        <v>0</v>
      </c>
      <c r="X31" s="1367"/>
      <c r="Y31" s="1435">
        <f t="shared" si="1"/>
        <v>0</v>
      </c>
      <c r="AA31" s="1366"/>
      <c r="AC31" s="1366"/>
    </row>
    <row r="32" spans="1:29" s="1392" customFormat="1">
      <c r="A32" s="1395">
        <v>2</v>
      </c>
      <c r="B32" s="1395"/>
      <c r="Q32" s="1395"/>
      <c r="R32" s="1395"/>
      <c r="S32" s="1376"/>
      <c r="T32" s="1376"/>
      <c r="U32" s="1638" t="s">
        <v>1011</v>
      </c>
      <c r="V32" s="1638"/>
      <c r="W32" s="1638"/>
      <c r="X32" s="1436"/>
      <c r="Y32" s="1437">
        <f>SUM(Y7:Y31)</f>
        <v>0</v>
      </c>
    </row>
    <row r="33" spans="1:29">
      <c r="V33" s="1636"/>
      <c r="W33" s="1636"/>
      <c r="X33" s="1636"/>
    </row>
    <row r="34" spans="1:29">
      <c r="H34" s="1392" t="s">
        <v>1012</v>
      </c>
      <c r="I34" s="1392"/>
      <c r="J34" s="1392"/>
      <c r="K34" s="1392"/>
      <c r="L34" s="1392"/>
      <c r="M34" s="1392"/>
      <c r="N34" s="1392"/>
      <c r="V34" s="1366" t="s">
        <v>880</v>
      </c>
      <c r="W34" s="1366"/>
      <c r="X34" s="1366"/>
      <c r="Y34" s="1366"/>
      <c r="AA34" s="1366"/>
      <c r="AC34" s="1366"/>
    </row>
    <row r="35" spans="1:29" ht="11.25" customHeight="1">
      <c r="A35" s="1396"/>
      <c r="B35" s="1400"/>
      <c r="C35" s="1628"/>
      <c r="D35" s="1628"/>
      <c r="E35" s="1628"/>
      <c r="F35" s="1628"/>
      <c r="G35" s="1628"/>
      <c r="O35" s="1438"/>
      <c r="P35" s="1438"/>
      <c r="Q35" s="1438"/>
      <c r="R35" s="1438"/>
      <c r="S35" s="1438"/>
      <c r="T35" s="1438"/>
      <c r="U35" s="1439" t="s">
        <v>11</v>
      </c>
      <c r="V35" s="1366" t="s">
        <v>1013</v>
      </c>
      <c r="W35" s="1366"/>
      <c r="X35" s="1366"/>
      <c r="Y35" s="1366"/>
      <c r="AA35" s="1366"/>
      <c r="AC35" s="1366"/>
    </row>
    <row r="36" spans="1:29" ht="11.25" customHeight="1">
      <c r="A36" s="1396"/>
      <c r="B36" s="1396"/>
      <c r="C36" s="1628"/>
      <c r="D36" s="1628"/>
      <c r="E36" s="1628"/>
      <c r="F36" s="1628"/>
      <c r="G36" s="1628"/>
      <c r="H36" s="1397"/>
      <c r="I36" s="1397"/>
      <c r="J36" s="1438"/>
      <c r="K36" s="1438"/>
      <c r="L36" s="1438"/>
      <c r="M36" s="1438"/>
      <c r="N36" s="1438"/>
      <c r="O36" s="1401"/>
      <c r="P36" s="1401"/>
      <c r="Q36" s="1401"/>
      <c r="R36" s="1401"/>
      <c r="S36" s="1401"/>
      <c r="T36" s="1401"/>
      <c r="V36" s="1366"/>
      <c r="W36" s="1366"/>
      <c r="X36" s="1366"/>
      <c r="Y36" s="1366"/>
      <c r="AA36" s="1366"/>
      <c r="AC36" s="1366"/>
    </row>
    <row r="37" spans="1:29" ht="11.25" customHeight="1">
      <c r="A37" s="1396"/>
      <c r="B37" s="1396"/>
      <c r="C37" s="1628"/>
      <c r="D37" s="1628"/>
      <c r="E37" s="1628"/>
      <c r="F37" s="1628"/>
      <c r="G37" s="1628"/>
      <c r="H37" s="1397"/>
      <c r="I37" s="1397"/>
      <c r="J37" s="1401"/>
      <c r="K37" s="1401"/>
      <c r="L37" s="1401"/>
      <c r="M37" s="1401"/>
      <c r="N37" s="1401"/>
      <c r="O37" s="1399"/>
      <c r="P37" s="1399"/>
      <c r="Q37" s="1399"/>
      <c r="R37" s="1399"/>
      <c r="S37" s="1399"/>
      <c r="T37" s="1399"/>
      <c r="V37" s="1366"/>
      <c r="W37" s="1366"/>
      <c r="X37" s="1366"/>
      <c r="Y37" s="1366"/>
      <c r="AA37" s="1366"/>
      <c r="AC37" s="1366"/>
    </row>
    <row r="38" spans="1:29">
      <c r="A38" s="1396"/>
      <c r="B38" s="1396"/>
      <c r="H38" s="1399"/>
      <c r="I38" s="1399"/>
      <c r="J38" s="1399"/>
      <c r="K38" s="1399"/>
      <c r="L38" s="1399"/>
      <c r="M38" s="1399"/>
      <c r="N38" s="1399"/>
      <c r="V38" s="1366"/>
      <c r="W38" s="1366"/>
      <c r="X38" s="1366"/>
      <c r="Y38" s="1366"/>
      <c r="AA38" s="1366"/>
      <c r="AC38" s="1366"/>
    </row>
    <row r="39" spans="1:29">
      <c r="A39" s="1396"/>
      <c r="B39" s="1396"/>
      <c r="V39" s="1395"/>
      <c r="W39" s="1366"/>
      <c r="X39" s="1366"/>
    </row>
    <row r="40" spans="1:29">
      <c r="A40" s="1396"/>
      <c r="B40" s="1396"/>
      <c r="V40" s="1366"/>
    </row>
    <row r="41" spans="1:29">
      <c r="A41" s="1396"/>
      <c r="B41" s="1396"/>
      <c r="S41" s="1392"/>
      <c r="T41" s="1392"/>
      <c r="U41" s="1393"/>
      <c r="V41" s="1366"/>
    </row>
    <row r="42" spans="1:29">
      <c r="A42" s="1396"/>
      <c r="B42" s="1396"/>
      <c r="S42" s="1392"/>
      <c r="T42" s="1392"/>
      <c r="U42" s="1393"/>
      <c r="V42" s="1366"/>
    </row>
    <row r="43" spans="1:29">
      <c r="A43" s="1396"/>
      <c r="B43" s="1396"/>
      <c r="S43" s="1392"/>
      <c r="T43" s="1392"/>
      <c r="U43" s="1393"/>
      <c r="V43" s="1366"/>
    </row>
    <row r="44" spans="1:29">
      <c r="A44" s="1396"/>
      <c r="B44" s="1396"/>
      <c r="S44" s="1392"/>
      <c r="T44" s="1392"/>
      <c r="U44" s="1393"/>
    </row>
    <row r="45" spans="1:29">
      <c r="A45" s="1396"/>
      <c r="B45" s="1396"/>
      <c r="S45" s="1392"/>
      <c r="T45" s="1392"/>
      <c r="U45" s="1393"/>
    </row>
    <row r="46" spans="1:29">
      <c r="A46" s="1396"/>
      <c r="B46" s="1396"/>
    </row>
  </sheetData>
  <mergeCells count="14">
    <mergeCell ref="Y5:Y6"/>
    <mergeCell ref="U32:W32"/>
    <mergeCell ref="A5:A6"/>
    <mergeCell ref="C5:C6"/>
    <mergeCell ref="D5:D6"/>
    <mergeCell ref="E5:E6"/>
    <mergeCell ref="F5:F6"/>
    <mergeCell ref="G5:G6"/>
    <mergeCell ref="V33:X33"/>
    <mergeCell ref="C35:G37"/>
    <mergeCell ref="U5:U6"/>
    <mergeCell ref="V5:V6"/>
    <mergeCell ref="W5:W6"/>
    <mergeCell ref="X5:X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R29"/>
  <sheetViews>
    <sheetView workbookViewId="0">
      <selection activeCell="J27" sqref="J27"/>
    </sheetView>
  </sheetViews>
  <sheetFormatPr defaultColWidth="7" defaultRowHeight="11.25"/>
  <cols>
    <col min="1" max="1" width="3.77734375" style="1386" customWidth="1"/>
    <col min="2" max="2" width="9.44140625" style="1413" customWidth="1"/>
    <col min="3" max="3" width="25" style="1413" customWidth="1"/>
    <col min="4" max="4" width="34" style="1413" customWidth="1"/>
    <col min="5" max="5" width="8.44140625" style="1392" customWidth="1"/>
    <col min="6" max="6" width="7.5546875" style="1413" customWidth="1"/>
    <col min="7" max="7" width="7.77734375" style="1392" customWidth="1"/>
    <col min="8" max="18" width="7.5546875" style="1392" customWidth="1"/>
    <col min="19" max="16384" width="7" style="1366"/>
  </cols>
  <sheetData>
    <row r="1" spans="1:18" s="1246" customFormat="1" ht="15">
      <c r="A1" s="1246" t="s">
        <v>1073</v>
      </c>
      <c r="F1" s="1246" t="s">
        <v>1073</v>
      </c>
    </row>
    <row r="2" spans="1:18" s="1246" customFormat="1" ht="15.75">
      <c r="A2" s="1246" t="s">
        <v>1069</v>
      </c>
      <c r="F2" s="1246" t="s">
        <v>1069</v>
      </c>
    </row>
    <row r="4" spans="1:18" s="1352" customFormat="1">
      <c r="B4" s="1402" t="s">
        <v>461</v>
      </c>
      <c r="C4" s="1353" t="s">
        <v>593</v>
      </c>
      <c r="D4" s="1354" t="s">
        <v>841</v>
      </c>
      <c r="E4" s="1354" t="s">
        <v>591</v>
      </c>
      <c r="F4" s="1354" t="s">
        <v>842</v>
      </c>
      <c r="G4" s="1354" t="s">
        <v>589</v>
      </c>
      <c r="H4" s="1354" t="s">
        <v>588</v>
      </c>
      <c r="I4" s="1354" t="s">
        <v>587</v>
      </c>
      <c r="J4" s="1354" t="s">
        <v>850</v>
      </c>
      <c r="K4" s="1354" t="s">
        <v>851</v>
      </c>
      <c r="L4" s="1354" t="s">
        <v>852</v>
      </c>
      <c r="M4" s="1354" t="s">
        <v>853</v>
      </c>
      <c r="N4" s="1354" t="s">
        <v>854</v>
      </c>
      <c r="O4" s="1354" t="s">
        <v>855</v>
      </c>
      <c r="P4" s="1354" t="s">
        <v>856</v>
      </c>
      <c r="Q4" s="1353" t="s">
        <v>857</v>
      </c>
      <c r="R4" s="1352" t="s">
        <v>858</v>
      </c>
    </row>
    <row r="5" spans="1:18" s="1359" customFormat="1" ht="33.75" customHeight="1">
      <c r="A5" s="1629" t="s">
        <v>17</v>
      </c>
      <c r="B5" s="1629" t="s">
        <v>1014</v>
      </c>
      <c r="C5" s="1634" t="s">
        <v>1015</v>
      </c>
      <c r="D5" s="1634" t="s">
        <v>1018</v>
      </c>
      <c r="E5" s="1629" t="s">
        <v>1016</v>
      </c>
      <c r="F5" s="1403" t="s">
        <v>866</v>
      </c>
      <c r="G5" s="1358" t="s">
        <v>867</v>
      </c>
      <c r="H5" s="1358" t="s">
        <v>868</v>
      </c>
      <c r="I5" s="1358" t="s">
        <v>869</v>
      </c>
      <c r="J5" s="1358" t="s">
        <v>870</v>
      </c>
      <c r="K5" s="1358" t="s">
        <v>871</v>
      </c>
      <c r="L5" s="1358" t="s">
        <v>870</v>
      </c>
      <c r="M5" s="1358" t="s">
        <v>872</v>
      </c>
      <c r="N5" s="1358" t="s">
        <v>873</v>
      </c>
      <c r="O5" s="1358" t="s">
        <v>874</v>
      </c>
      <c r="P5" s="1358" t="s">
        <v>875</v>
      </c>
      <c r="Q5" s="1358" t="s">
        <v>876</v>
      </c>
      <c r="R5" s="1358" t="s">
        <v>866</v>
      </c>
    </row>
    <row r="6" spans="1:18" s="1359" customFormat="1">
      <c r="A6" s="1629"/>
      <c r="B6" s="1629"/>
      <c r="C6" s="1635"/>
      <c r="D6" s="1635"/>
      <c r="E6" s="1629"/>
      <c r="F6" s="1457" t="s">
        <v>1097</v>
      </c>
      <c r="G6" s="1458" t="s">
        <v>1108</v>
      </c>
      <c r="H6" s="1458" t="s">
        <v>1108</v>
      </c>
      <c r="I6" s="1458" t="s">
        <v>1108</v>
      </c>
      <c r="J6" s="1458" t="s">
        <v>1108</v>
      </c>
      <c r="K6" s="1458" t="s">
        <v>1108</v>
      </c>
      <c r="L6" s="1458" t="s">
        <v>1108</v>
      </c>
      <c r="M6" s="1458" t="s">
        <v>1108</v>
      </c>
      <c r="N6" s="1458" t="s">
        <v>1108</v>
      </c>
      <c r="O6" s="1458" t="s">
        <v>1108</v>
      </c>
      <c r="P6" s="1458" t="s">
        <v>1108</v>
      </c>
      <c r="Q6" s="1458" t="s">
        <v>1108</v>
      </c>
      <c r="R6" s="1458" t="s">
        <v>1108</v>
      </c>
    </row>
    <row r="7" spans="1:18" ht="28.9" customHeight="1">
      <c r="A7" s="1386" t="s">
        <v>313</v>
      </c>
      <c r="B7" s="1460"/>
      <c r="C7" s="1450"/>
      <c r="D7" s="1450"/>
      <c r="E7" s="1407">
        <f t="shared" ref="E7:E16" si="0">IFERROR(SUM(F7:R7)/13,0)</f>
        <v>0</v>
      </c>
      <c r="F7" s="1450"/>
      <c r="G7" s="1450"/>
      <c r="H7" s="1450"/>
      <c r="I7" s="1450"/>
      <c r="J7" s="1450"/>
      <c r="K7" s="1450"/>
      <c r="L7" s="1450"/>
      <c r="M7" s="1450"/>
      <c r="N7" s="1450"/>
      <c r="O7" s="1450"/>
      <c r="P7" s="1450"/>
      <c r="Q7" s="1450"/>
      <c r="R7" s="1450"/>
    </row>
    <row r="8" spans="1:18" ht="28.9" customHeight="1">
      <c r="A8" s="1386" t="s">
        <v>881</v>
      </c>
      <c r="B8" s="1461"/>
      <c r="C8" s="1452"/>
      <c r="D8" s="1452"/>
      <c r="E8" s="1368">
        <f t="shared" si="0"/>
        <v>0</v>
      </c>
      <c r="F8" s="1452"/>
      <c r="G8" s="1452"/>
      <c r="H8" s="1452"/>
      <c r="I8" s="1452"/>
      <c r="J8" s="1452"/>
      <c r="K8" s="1452"/>
      <c r="L8" s="1452"/>
      <c r="M8" s="1452"/>
      <c r="N8" s="1452"/>
      <c r="O8" s="1452"/>
      <c r="P8" s="1452"/>
      <c r="Q8" s="1452"/>
      <c r="R8" s="1452"/>
    </row>
    <row r="9" spans="1:18" ht="28.9" customHeight="1">
      <c r="A9" s="1386" t="s">
        <v>882</v>
      </c>
      <c r="B9" s="1461"/>
      <c r="C9" s="1452"/>
      <c r="D9" s="1452"/>
      <c r="E9" s="1368">
        <f t="shared" si="0"/>
        <v>0</v>
      </c>
      <c r="F9" s="1452"/>
      <c r="G9" s="1452"/>
      <c r="H9" s="1452"/>
      <c r="I9" s="1452"/>
      <c r="J9" s="1452"/>
      <c r="K9" s="1452"/>
      <c r="L9" s="1452"/>
      <c r="M9" s="1452"/>
      <c r="N9" s="1452"/>
      <c r="O9" s="1452"/>
      <c r="P9" s="1452"/>
      <c r="Q9" s="1452"/>
      <c r="R9" s="1452"/>
    </row>
    <row r="10" spans="1:18" ht="28.9" customHeight="1">
      <c r="A10" s="1386" t="s">
        <v>382</v>
      </c>
      <c r="B10" s="1461"/>
      <c r="C10" s="1452"/>
      <c r="D10" s="1452"/>
      <c r="E10" s="1368">
        <f t="shared" si="0"/>
        <v>0</v>
      </c>
      <c r="F10" s="1452"/>
      <c r="G10" s="1452"/>
      <c r="H10" s="1452"/>
      <c r="I10" s="1452"/>
      <c r="J10" s="1452"/>
      <c r="K10" s="1452"/>
      <c r="L10" s="1452"/>
      <c r="M10" s="1452"/>
      <c r="N10" s="1452"/>
      <c r="O10" s="1452"/>
      <c r="P10" s="1452"/>
      <c r="Q10" s="1452"/>
      <c r="R10" s="1452"/>
    </row>
    <row r="11" spans="1:18" ht="28.9" customHeight="1">
      <c r="A11" s="1386" t="s">
        <v>382</v>
      </c>
      <c r="B11" s="1461"/>
      <c r="C11" s="1452"/>
      <c r="D11" s="1452"/>
      <c r="E11" s="1368">
        <f t="shared" si="0"/>
        <v>0</v>
      </c>
      <c r="F11" s="1452"/>
      <c r="G11" s="1452"/>
      <c r="H11" s="1452"/>
      <c r="I11" s="1452"/>
      <c r="J11" s="1452"/>
      <c r="K11" s="1452"/>
      <c r="L11" s="1452"/>
      <c r="M11" s="1452"/>
      <c r="N11" s="1452"/>
      <c r="O11" s="1452"/>
      <c r="P11" s="1452"/>
      <c r="Q11" s="1452"/>
      <c r="R11" s="1452"/>
    </row>
    <row r="12" spans="1:18" ht="28.9" customHeight="1">
      <c r="A12" s="1386" t="s">
        <v>382</v>
      </c>
      <c r="B12" s="1461"/>
      <c r="C12" s="1452"/>
      <c r="D12" s="1452"/>
      <c r="E12" s="1368">
        <f t="shared" si="0"/>
        <v>0</v>
      </c>
      <c r="F12" s="1452"/>
      <c r="G12" s="1452"/>
      <c r="H12" s="1452"/>
      <c r="I12" s="1452"/>
      <c r="J12" s="1452"/>
      <c r="K12" s="1452"/>
      <c r="L12" s="1452"/>
      <c r="M12" s="1452"/>
      <c r="N12" s="1452"/>
      <c r="O12" s="1452"/>
      <c r="P12" s="1452"/>
      <c r="Q12" s="1452"/>
      <c r="R12" s="1452"/>
    </row>
    <row r="13" spans="1:18" ht="28.9" customHeight="1">
      <c r="A13" s="1386" t="s">
        <v>382</v>
      </c>
      <c r="B13" s="1461"/>
      <c r="C13" s="1452"/>
      <c r="D13" s="1452"/>
      <c r="E13" s="1368">
        <f t="shared" si="0"/>
        <v>0</v>
      </c>
      <c r="F13" s="1452"/>
      <c r="G13" s="1452"/>
      <c r="H13" s="1452"/>
      <c r="I13" s="1452"/>
      <c r="J13" s="1452"/>
      <c r="K13" s="1452"/>
      <c r="L13" s="1452"/>
      <c r="M13" s="1452"/>
      <c r="N13" s="1452"/>
      <c r="O13" s="1452"/>
      <c r="P13" s="1452"/>
      <c r="Q13" s="1452"/>
      <c r="R13" s="1452"/>
    </row>
    <row r="14" spans="1:18" ht="28.9" customHeight="1">
      <c r="A14" s="1386" t="s">
        <v>382</v>
      </c>
      <c r="B14" s="1461"/>
      <c r="C14" s="1452"/>
      <c r="D14" s="1452"/>
      <c r="E14" s="1368">
        <f t="shared" si="0"/>
        <v>0</v>
      </c>
      <c r="F14" s="1452"/>
      <c r="G14" s="1452"/>
      <c r="H14" s="1452"/>
      <c r="I14" s="1452"/>
      <c r="J14" s="1452"/>
      <c r="K14" s="1452"/>
      <c r="L14" s="1452"/>
      <c r="M14" s="1452"/>
      <c r="N14" s="1452"/>
      <c r="O14" s="1452"/>
      <c r="P14" s="1452"/>
      <c r="Q14" s="1452"/>
      <c r="R14" s="1452"/>
    </row>
    <row r="15" spans="1:18" ht="28.9" customHeight="1">
      <c r="A15" s="1386" t="s">
        <v>382</v>
      </c>
      <c r="B15" s="1461"/>
      <c r="C15" s="1452"/>
      <c r="D15" s="1452"/>
      <c r="E15" s="1368">
        <f t="shared" si="0"/>
        <v>0</v>
      </c>
      <c r="F15" s="1452"/>
      <c r="G15" s="1452"/>
      <c r="H15" s="1452"/>
      <c r="I15" s="1452"/>
      <c r="J15" s="1452"/>
      <c r="K15" s="1452"/>
      <c r="L15" s="1452"/>
      <c r="M15" s="1452"/>
      <c r="N15" s="1452"/>
      <c r="O15" s="1452"/>
      <c r="P15" s="1452"/>
      <c r="Q15" s="1452"/>
      <c r="R15" s="1452"/>
    </row>
    <row r="16" spans="1:18" ht="28.9" customHeight="1">
      <c r="A16" s="1386" t="s">
        <v>316</v>
      </c>
      <c r="B16" s="1461"/>
      <c r="C16" s="1452"/>
      <c r="D16" s="1452"/>
      <c r="E16" s="1377">
        <f t="shared" si="0"/>
        <v>0</v>
      </c>
      <c r="F16" s="1452"/>
      <c r="G16" s="1452"/>
      <c r="H16" s="1452"/>
      <c r="I16" s="1452"/>
      <c r="J16" s="1452"/>
      <c r="K16" s="1452"/>
      <c r="L16" s="1452"/>
      <c r="M16" s="1452"/>
      <c r="N16" s="1452"/>
      <c r="O16" s="1459"/>
      <c r="P16" s="1459"/>
      <c r="Q16" s="1459"/>
      <c r="R16" s="1459"/>
    </row>
    <row r="17" spans="1:18">
      <c r="A17" s="1386">
        <v>2</v>
      </c>
      <c r="C17" s="1441"/>
      <c r="D17" s="1441" t="s">
        <v>1017</v>
      </c>
      <c r="E17" s="1442">
        <f>SUM(E7:E16)</f>
        <v>0</v>
      </c>
      <c r="F17" s="1414"/>
      <c r="G17" s="1414"/>
      <c r="H17" s="1414"/>
      <c r="I17" s="1414"/>
      <c r="J17" s="1414"/>
      <c r="K17" s="1414"/>
      <c r="L17" s="1414"/>
      <c r="M17" s="1414"/>
      <c r="N17" s="1366"/>
      <c r="O17" s="1366"/>
      <c r="P17" s="1366"/>
      <c r="Q17" s="1366"/>
      <c r="R17" s="1366"/>
    </row>
    <row r="18" spans="1:18" ht="11.25" customHeight="1">
      <c r="E18" s="1414"/>
      <c r="F18" s="1639" t="s">
        <v>1012</v>
      </c>
      <c r="G18" s="1639"/>
      <c r="H18" s="1639"/>
      <c r="I18" s="1639"/>
      <c r="J18" s="1639"/>
      <c r="K18" s="1639"/>
      <c r="L18" s="1414"/>
      <c r="M18" s="1414"/>
      <c r="N18" s="1414"/>
      <c r="O18" s="1414"/>
      <c r="P18" s="1414"/>
      <c r="Q18" s="1414"/>
      <c r="R18" s="1414"/>
    </row>
    <row r="19" spans="1:18">
      <c r="B19" s="1400"/>
      <c r="C19" s="1420"/>
      <c r="D19" s="1420"/>
      <c r="F19" s="1420"/>
      <c r="G19" s="1420"/>
    </row>
    <row r="20" spans="1:18">
      <c r="A20" s="1366"/>
      <c r="C20" s="1420"/>
      <c r="D20" s="1420"/>
      <c r="E20" s="1366"/>
      <c r="F20" s="1420"/>
      <c r="G20" s="1420"/>
      <c r="R20" s="1366"/>
    </row>
    <row r="21" spans="1:18" ht="12" customHeight="1">
      <c r="A21" s="1366"/>
      <c r="B21" s="1396"/>
      <c r="C21" s="1420"/>
      <c r="D21" s="1420"/>
      <c r="E21" s="1366"/>
      <c r="F21" s="1420"/>
      <c r="M21" s="1417"/>
      <c r="R21" s="1366"/>
    </row>
    <row r="22" spans="1:18" ht="12" customHeight="1">
      <c r="A22" s="1366"/>
      <c r="B22" s="1396"/>
      <c r="C22" s="1420"/>
      <c r="D22" s="1420"/>
      <c r="E22" s="1366"/>
      <c r="F22" s="1420"/>
      <c r="R22" s="1366"/>
    </row>
    <row r="23" spans="1:18" ht="11.25" customHeight="1">
      <c r="A23" s="1400"/>
      <c r="B23" s="1396"/>
      <c r="C23" s="1420"/>
      <c r="D23" s="1420"/>
      <c r="E23" s="1366"/>
      <c r="F23" s="1420"/>
      <c r="M23" s="1443"/>
      <c r="R23" s="1366"/>
    </row>
    <row r="24" spans="1:18" ht="11.25" customHeight="1">
      <c r="A24" s="1400"/>
      <c r="B24" s="1400"/>
      <c r="C24" s="1631"/>
      <c r="D24" s="1631"/>
      <c r="E24" s="1366"/>
      <c r="M24" s="1418"/>
      <c r="R24" s="1366"/>
    </row>
    <row r="25" spans="1:18" ht="11.25" customHeight="1">
      <c r="A25" s="1396"/>
      <c r="B25" s="1400"/>
      <c r="E25" s="1366"/>
      <c r="M25" s="1418"/>
      <c r="R25" s="1366"/>
    </row>
    <row r="26" spans="1:18">
      <c r="A26" s="1396"/>
      <c r="E26" s="1366"/>
      <c r="R26" s="1366"/>
    </row>
    <row r="27" spans="1:18">
      <c r="A27" s="1396"/>
      <c r="E27" s="1366"/>
      <c r="R27" s="1366"/>
    </row>
    <row r="28" spans="1:18">
      <c r="A28" s="1396"/>
      <c r="E28" s="1366"/>
      <c r="R28" s="1366"/>
    </row>
    <row r="29" spans="1:18">
      <c r="A29" s="1396"/>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Q67"/>
  <sheetViews>
    <sheetView workbookViewId="0">
      <selection activeCell="K21" sqref="K21"/>
    </sheetView>
  </sheetViews>
  <sheetFormatPr defaultColWidth="8.77734375" defaultRowHeight="12.75"/>
  <cols>
    <col min="1" max="1" width="8.77734375" style="1271"/>
    <col min="2" max="2" width="50" style="1270" customWidth="1"/>
    <col min="3" max="3" width="15.77734375" style="1270" customWidth="1"/>
    <col min="4" max="4" width="13.77734375" style="1270" customWidth="1"/>
    <col min="5" max="5" width="7.77734375" style="1270" customWidth="1"/>
    <col min="6" max="6" width="8.44140625" style="1270" customWidth="1"/>
    <col min="7" max="7" width="10" style="1270" bestFit="1" customWidth="1"/>
    <col min="8" max="8" width="10.33203125" style="1270" customWidth="1"/>
    <col min="9" max="10" width="8.77734375" style="1270"/>
    <col min="11" max="11" width="10.44140625" style="1270" bestFit="1" customWidth="1"/>
    <col min="12" max="12" width="39.44140625" style="1270" bestFit="1" customWidth="1"/>
    <col min="13" max="16384" width="8.77734375" style="1270"/>
  </cols>
  <sheetData>
    <row r="1" spans="1:17" ht="15">
      <c r="A1" s="1640" t="s">
        <v>829</v>
      </c>
      <c r="B1" s="1641"/>
      <c r="C1" s="1641"/>
      <c r="D1" s="1641"/>
      <c r="E1" s="1641"/>
      <c r="F1" s="1641"/>
      <c r="G1" s="1064"/>
      <c r="J1" s="1064"/>
      <c r="K1" s="1064"/>
      <c r="L1" s="1064"/>
      <c r="M1" s="1064"/>
      <c r="N1" s="1064"/>
      <c r="O1" s="1064"/>
      <c r="P1" s="1064"/>
      <c r="Q1" s="1064"/>
    </row>
    <row r="2" spans="1:17" ht="15.75">
      <c r="A2" s="1641" t="s">
        <v>491</v>
      </c>
      <c r="B2" s="1641"/>
      <c r="C2" s="1641"/>
      <c r="D2" s="1641"/>
      <c r="E2" s="1641"/>
      <c r="F2" s="1641"/>
      <c r="G2" s="1064"/>
      <c r="H2" s="1500" t="s">
        <v>1080</v>
      </c>
      <c r="I2" s="1276"/>
      <c r="J2" s="1064"/>
      <c r="K2" s="1064"/>
      <c r="L2" s="1064"/>
      <c r="M2" s="1064"/>
      <c r="N2" s="1064"/>
      <c r="O2" s="1064"/>
      <c r="P2" s="1064"/>
      <c r="Q2" s="1064"/>
    </row>
    <row r="3" spans="1:17" ht="15">
      <c r="H3" s="1485">
        <v>44560</v>
      </c>
      <c r="I3" s="1292"/>
    </row>
    <row r="4" spans="1:17">
      <c r="A4" s="1291"/>
      <c r="B4" s="1278"/>
      <c r="C4" s="1278"/>
      <c r="D4" s="1278"/>
      <c r="E4" s="1278"/>
      <c r="F4" s="1278"/>
      <c r="G4" s="1278"/>
      <c r="H4" s="1278"/>
      <c r="I4" s="1278"/>
      <c r="J4" s="1278"/>
    </row>
    <row r="5" spans="1:17">
      <c r="A5" s="1318" t="s">
        <v>660</v>
      </c>
      <c r="B5" s="1287"/>
      <c r="C5" s="1287"/>
      <c r="D5" s="1274"/>
      <c r="E5" s="1274"/>
      <c r="F5" s="1274"/>
      <c r="G5" s="1278"/>
      <c r="H5" s="1278"/>
      <c r="I5" s="1278"/>
      <c r="J5" s="1278"/>
    </row>
    <row r="6" spans="1:17" ht="16.5">
      <c r="A6" s="1290"/>
      <c r="B6" s="1287"/>
      <c r="C6" s="1274"/>
      <c r="D6" s="1274"/>
      <c r="E6" s="1274"/>
      <c r="F6" s="1274"/>
      <c r="G6" s="1278"/>
      <c r="H6" s="1278"/>
      <c r="I6" s="1278"/>
      <c r="J6" s="1278"/>
    </row>
    <row r="7" spans="1:17" ht="27.75" customHeight="1">
      <c r="A7" s="1283" t="s">
        <v>661</v>
      </c>
      <c r="B7" s="1274" t="s">
        <v>696</v>
      </c>
      <c r="C7" s="1286"/>
      <c r="D7" s="1285" t="s">
        <v>818</v>
      </c>
      <c r="E7" s="1285" t="s">
        <v>819</v>
      </c>
      <c r="F7" s="1284" t="s">
        <v>817</v>
      </c>
      <c r="G7" s="1284" t="s">
        <v>768</v>
      </c>
      <c r="H7" s="1285" t="s">
        <v>821</v>
      </c>
      <c r="I7" s="1284" t="s">
        <v>21</v>
      </c>
      <c r="J7" s="1278"/>
    </row>
    <row r="8" spans="1:17" ht="18.75" customHeight="1">
      <c r="A8" s="1283"/>
      <c r="B8" s="1274"/>
      <c r="C8" s="1274"/>
      <c r="D8" s="1274"/>
      <c r="E8" s="1274"/>
      <c r="F8" s="1287"/>
      <c r="G8" s="1278"/>
      <c r="H8" s="1278"/>
      <c r="I8" s="1278"/>
      <c r="J8" s="1278"/>
    </row>
    <row r="9" spans="1:17" ht="15">
      <c r="A9" s="1275">
        <v>1</v>
      </c>
      <c r="B9" s="1308" t="s">
        <v>1084</v>
      </c>
      <c r="C9" s="1234"/>
      <c r="D9" s="1243"/>
      <c r="E9" s="1243">
        <v>2016345</v>
      </c>
      <c r="F9" s="1243"/>
      <c r="G9" s="1310"/>
      <c r="H9" s="1243"/>
      <c r="I9" s="1225">
        <f t="shared" ref="I9:I32" si="0">SUM(D9:H9)</f>
        <v>2016345</v>
      </c>
      <c r="J9" s="1278"/>
    </row>
    <row r="10" spans="1:17" ht="15">
      <c r="A10" s="1275">
        <f t="shared" ref="A10:A33" si="1">+A9+1</f>
        <v>2</v>
      </c>
      <c r="B10" s="1309"/>
      <c r="C10" s="1234"/>
      <c r="D10" s="1243"/>
      <c r="E10" s="1243"/>
      <c r="F10" s="1243"/>
      <c r="G10" s="1310"/>
      <c r="H10" s="1243"/>
      <c r="I10" s="1225">
        <f t="shared" si="0"/>
        <v>0</v>
      </c>
      <c r="J10" s="1278"/>
    </row>
    <row r="11" spans="1:17" ht="15">
      <c r="A11" s="1275">
        <f t="shared" si="1"/>
        <v>3</v>
      </c>
      <c r="B11" s="1309"/>
      <c r="C11" s="1234"/>
      <c r="D11" s="1243"/>
      <c r="E11" s="1243"/>
      <c r="F11" s="1243"/>
      <c r="G11" s="1310"/>
      <c r="H11" s="1243"/>
      <c r="I11" s="1225">
        <f t="shared" si="0"/>
        <v>0</v>
      </c>
      <c r="J11" s="1278"/>
    </row>
    <row r="12" spans="1:17" ht="15">
      <c r="A12" s="1275">
        <f t="shared" si="1"/>
        <v>4</v>
      </c>
      <c r="B12" s="1309"/>
      <c r="C12" s="1234"/>
      <c r="D12" s="1243"/>
      <c r="E12" s="1243"/>
      <c r="F12" s="1243"/>
      <c r="G12" s="1310"/>
      <c r="H12" s="1243"/>
      <c r="I12" s="1225">
        <f t="shared" si="0"/>
        <v>0</v>
      </c>
      <c r="J12" s="1278"/>
    </row>
    <row r="13" spans="1:17" ht="15">
      <c r="A13" s="1275">
        <f t="shared" si="1"/>
        <v>5</v>
      </c>
      <c r="B13" s="1309"/>
      <c r="C13" s="1234"/>
      <c r="D13" s="1243"/>
      <c r="E13" s="1243"/>
      <c r="F13" s="1243"/>
      <c r="G13" s="1310"/>
      <c r="H13" s="1243"/>
      <c r="I13" s="1225">
        <f t="shared" si="0"/>
        <v>0</v>
      </c>
      <c r="J13" s="1278"/>
    </row>
    <row r="14" spans="1:17" ht="15">
      <c r="A14" s="1275">
        <f t="shared" si="1"/>
        <v>6</v>
      </c>
      <c r="B14" s="1308"/>
      <c r="C14" s="1234"/>
      <c r="D14" s="1243"/>
      <c r="E14" s="1243"/>
      <c r="F14" s="1243"/>
      <c r="G14" s="1310"/>
      <c r="H14" s="1243"/>
      <c r="I14" s="1225">
        <f t="shared" si="0"/>
        <v>0</v>
      </c>
      <c r="J14" s="1278"/>
    </row>
    <row r="15" spans="1:17" ht="15">
      <c r="A15" s="1275">
        <f t="shared" si="1"/>
        <v>7</v>
      </c>
      <c r="B15" s="1308"/>
      <c r="C15" s="1234"/>
      <c r="D15" s="1243"/>
      <c r="E15" s="1243"/>
      <c r="F15" s="1243"/>
      <c r="G15" s="1310"/>
      <c r="H15" s="1243"/>
      <c r="I15" s="1225">
        <f t="shared" si="0"/>
        <v>0</v>
      </c>
      <c r="J15" s="1278"/>
    </row>
    <row r="16" spans="1:17" ht="15">
      <c r="A16" s="1275">
        <f t="shared" si="1"/>
        <v>8</v>
      </c>
      <c r="B16" s="1308"/>
      <c r="C16" s="1234"/>
      <c r="D16" s="1243"/>
      <c r="E16" s="1243"/>
      <c r="F16" s="1243"/>
      <c r="G16" s="1310"/>
      <c r="H16" s="1243"/>
      <c r="I16" s="1225">
        <f t="shared" si="0"/>
        <v>0</v>
      </c>
      <c r="J16" s="1278"/>
    </row>
    <row r="17" spans="1:10" ht="15">
      <c r="A17" s="1275">
        <f t="shared" si="1"/>
        <v>9</v>
      </c>
      <c r="B17" s="1308"/>
      <c r="C17" s="1234"/>
      <c r="D17" s="1243"/>
      <c r="E17" s="1243"/>
      <c r="F17" s="1243"/>
      <c r="G17" s="1310"/>
      <c r="H17" s="1243"/>
      <c r="I17" s="1225">
        <f t="shared" si="0"/>
        <v>0</v>
      </c>
      <c r="J17" s="1278"/>
    </row>
    <row r="18" spans="1:10" ht="15">
      <c r="A18" s="1275">
        <f t="shared" si="1"/>
        <v>10</v>
      </c>
      <c r="B18" s="1308"/>
      <c r="C18" s="1234"/>
      <c r="D18" s="1243"/>
      <c r="E18" s="1243"/>
      <c r="F18" s="1243"/>
      <c r="G18" s="1310"/>
      <c r="H18" s="1243"/>
      <c r="I18" s="1225">
        <f t="shared" si="0"/>
        <v>0</v>
      </c>
      <c r="J18" s="1278"/>
    </row>
    <row r="19" spans="1:10" ht="15">
      <c r="A19" s="1275">
        <f t="shared" si="1"/>
        <v>11</v>
      </c>
      <c r="B19" s="1308"/>
      <c r="C19" s="1234"/>
      <c r="D19" s="1243"/>
      <c r="E19" s="1243"/>
      <c r="F19" s="1243"/>
      <c r="G19" s="1310"/>
      <c r="H19" s="1243"/>
      <c r="I19" s="1225">
        <f t="shared" si="0"/>
        <v>0</v>
      </c>
      <c r="J19" s="1278"/>
    </row>
    <row r="20" spans="1:10" ht="15">
      <c r="A20" s="1275">
        <f t="shared" si="1"/>
        <v>12</v>
      </c>
      <c r="B20" s="1308"/>
      <c r="C20" s="1234"/>
      <c r="D20" s="1243"/>
      <c r="E20" s="1243"/>
      <c r="F20" s="1243"/>
      <c r="G20" s="1310"/>
      <c r="H20" s="1243"/>
      <c r="I20" s="1225">
        <f t="shared" si="0"/>
        <v>0</v>
      </c>
      <c r="J20" s="1278"/>
    </row>
    <row r="21" spans="1:10" ht="15">
      <c r="A21" s="1275">
        <f t="shared" si="1"/>
        <v>13</v>
      </c>
      <c r="B21" s="1308"/>
      <c r="C21" s="1234"/>
      <c r="D21" s="1243"/>
      <c r="E21" s="1243"/>
      <c r="F21" s="1243"/>
      <c r="G21" s="1310"/>
      <c r="H21" s="1243"/>
      <c r="I21" s="1225">
        <f t="shared" si="0"/>
        <v>0</v>
      </c>
      <c r="J21" s="1278"/>
    </row>
    <row r="22" spans="1:10" ht="15">
      <c r="A22" s="1275">
        <f t="shared" si="1"/>
        <v>14</v>
      </c>
      <c r="B22" s="1308"/>
      <c r="C22" s="1234"/>
      <c r="D22" s="1243"/>
      <c r="E22" s="1243"/>
      <c r="F22" s="1243"/>
      <c r="G22" s="1310"/>
      <c r="H22" s="1243"/>
      <c r="I22" s="1225">
        <f t="shared" si="0"/>
        <v>0</v>
      </c>
      <c r="J22" s="1278"/>
    </row>
    <row r="23" spans="1:10" ht="15">
      <c r="A23" s="1275">
        <f t="shared" si="1"/>
        <v>15</v>
      </c>
      <c r="B23" s="1308"/>
      <c r="C23" s="1234"/>
      <c r="D23" s="1243"/>
      <c r="E23" s="1243"/>
      <c r="F23" s="1243"/>
      <c r="G23" s="1310"/>
      <c r="H23" s="1243"/>
      <c r="I23" s="1225">
        <f t="shared" si="0"/>
        <v>0</v>
      </c>
      <c r="J23" s="1278"/>
    </row>
    <row r="24" spans="1:10" ht="15">
      <c r="A24" s="1275">
        <f t="shared" si="1"/>
        <v>16</v>
      </c>
      <c r="B24" s="1308"/>
      <c r="C24" s="1234"/>
      <c r="D24" s="1243"/>
      <c r="E24" s="1243"/>
      <c r="F24" s="1243"/>
      <c r="G24" s="1314"/>
      <c r="H24" s="1243"/>
      <c r="I24" s="1225">
        <f t="shared" si="0"/>
        <v>0</v>
      </c>
      <c r="J24" s="1278"/>
    </row>
    <row r="25" spans="1:10" ht="15">
      <c r="A25" s="1275">
        <f t="shared" si="1"/>
        <v>17</v>
      </c>
      <c r="B25" s="1308"/>
      <c r="C25" s="1234"/>
      <c r="D25" s="1243"/>
      <c r="E25" s="1243"/>
      <c r="F25" s="1243"/>
      <c r="G25" s="1314"/>
      <c r="H25" s="1243"/>
      <c r="I25" s="1225">
        <f t="shared" si="0"/>
        <v>0</v>
      </c>
      <c r="J25" s="1278"/>
    </row>
    <row r="26" spans="1:10" ht="15">
      <c r="A26" s="1275">
        <f t="shared" si="1"/>
        <v>18</v>
      </c>
      <c r="B26" s="1308"/>
      <c r="C26" s="1234"/>
      <c r="D26" s="1243"/>
      <c r="E26" s="1243"/>
      <c r="F26" s="1243"/>
      <c r="G26" s="1314"/>
      <c r="H26" s="1243"/>
      <c r="I26" s="1225">
        <f t="shared" si="0"/>
        <v>0</v>
      </c>
      <c r="J26" s="1278"/>
    </row>
    <row r="27" spans="1:10" ht="15">
      <c r="A27" s="1275">
        <f t="shared" si="1"/>
        <v>19</v>
      </c>
      <c r="B27" s="1308"/>
      <c r="C27" s="1234"/>
      <c r="D27" s="1243"/>
      <c r="E27" s="1243"/>
      <c r="F27" s="1243"/>
      <c r="G27" s="1314"/>
      <c r="H27" s="1243"/>
      <c r="I27" s="1225">
        <f t="shared" si="0"/>
        <v>0</v>
      </c>
      <c r="J27" s="1278"/>
    </row>
    <row r="28" spans="1:10" ht="15">
      <c r="A28" s="1275">
        <f t="shared" si="1"/>
        <v>20</v>
      </c>
      <c r="B28" s="1308"/>
      <c r="C28" s="1234"/>
      <c r="D28" s="1243"/>
      <c r="E28" s="1243"/>
      <c r="F28" s="1243"/>
      <c r="G28" s="1314"/>
      <c r="H28" s="1243"/>
      <c r="I28" s="1225">
        <f t="shared" si="0"/>
        <v>0</v>
      </c>
      <c r="J28" s="1278"/>
    </row>
    <row r="29" spans="1:10" ht="15">
      <c r="A29" s="1275">
        <f t="shared" si="1"/>
        <v>21</v>
      </c>
      <c r="B29" s="1308"/>
      <c r="C29" s="1234"/>
      <c r="D29" s="1243"/>
      <c r="E29" s="1243"/>
      <c r="F29" s="1243"/>
      <c r="G29" s="1314"/>
      <c r="H29" s="1243"/>
      <c r="I29" s="1225">
        <f t="shared" si="0"/>
        <v>0</v>
      </c>
      <c r="J29" s="1278"/>
    </row>
    <row r="30" spans="1:10" ht="15">
      <c r="A30" s="1275">
        <f t="shared" si="1"/>
        <v>22</v>
      </c>
      <c r="B30" s="1308"/>
      <c r="C30" s="1234"/>
      <c r="D30" s="1243"/>
      <c r="E30" s="1243"/>
      <c r="F30" s="1243"/>
      <c r="G30" s="1314"/>
      <c r="H30" s="1243"/>
      <c r="I30" s="1225">
        <f t="shared" si="0"/>
        <v>0</v>
      </c>
      <c r="J30" s="1278"/>
    </row>
    <row r="31" spans="1:10" ht="15">
      <c r="A31" s="1275">
        <f t="shared" si="1"/>
        <v>23</v>
      </c>
      <c r="B31" s="1308"/>
      <c r="C31" s="1234"/>
      <c r="D31" s="1243"/>
      <c r="E31" s="1243"/>
      <c r="F31" s="1243"/>
      <c r="G31" s="1314"/>
      <c r="H31" s="1243"/>
      <c r="I31" s="1225">
        <f t="shared" si="0"/>
        <v>0</v>
      </c>
      <c r="J31" s="1278"/>
    </row>
    <row r="32" spans="1:10" ht="15">
      <c r="A32" s="1275">
        <f t="shared" si="1"/>
        <v>24</v>
      </c>
      <c r="B32" s="1308"/>
      <c r="C32" s="1234"/>
      <c r="D32" s="1243"/>
      <c r="E32" s="1243"/>
      <c r="F32" s="1243"/>
      <c r="G32" s="1314"/>
      <c r="H32" s="1243"/>
      <c r="I32" s="1225">
        <f t="shared" si="0"/>
        <v>0</v>
      </c>
      <c r="J32" s="1278"/>
    </row>
    <row r="33" spans="1:15" ht="13.5" thickBot="1">
      <c r="A33" s="1275">
        <f t="shared" si="1"/>
        <v>25</v>
      </c>
      <c r="B33" s="1274" t="s">
        <v>21</v>
      </c>
      <c r="C33" s="1274"/>
      <c r="D33" s="1315">
        <f>SUM(D9:D32)</f>
        <v>0</v>
      </c>
      <c r="E33" s="1315">
        <f>SUM(E9:E32)</f>
        <v>2016345</v>
      </c>
      <c r="F33" s="1315">
        <f>SUM(F9:F32)</f>
        <v>0</v>
      </c>
      <c r="G33" s="725"/>
      <c r="H33" s="1315">
        <f>SUM(H9:H32)</f>
        <v>0</v>
      </c>
      <c r="I33" s="1315">
        <f>SUM(I9:I32)</f>
        <v>2016345</v>
      </c>
      <c r="J33" s="1278"/>
    </row>
    <row r="34" spans="1:15" ht="13.5" thickTop="1">
      <c r="A34" s="1289" t="s">
        <v>8</v>
      </c>
      <c r="B34" s="1274"/>
      <c r="C34" s="1274"/>
      <c r="D34" s="1312"/>
      <c r="E34" s="1312"/>
      <c r="F34" s="1312"/>
      <c r="G34" s="1312"/>
      <c r="H34" s="1312"/>
      <c r="I34" s="1312"/>
      <c r="J34" s="1278"/>
    </row>
    <row r="35" spans="1:15">
      <c r="A35" s="1288" t="s">
        <v>763</v>
      </c>
      <c r="B35" s="1287"/>
      <c r="C35" s="1287"/>
      <c r="D35" s="1274"/>
      <c r="E35" s="1274"/>
      <c r="F35" s="1274"/>
      <c r="G35" s="1278"/>
      <c r="H35" s="1278"/>
      <c r="I35" s="1278"/>
      <c r="J35" s="1278"/>
    </row>
    <row r="36" spans="1:15" ht="16.5">
      <c r="A36" s="1290" t="s">
        <v>925</v>
      </c>
      <c r="B36" s="1274"/>
      <c r="C36" s="1274"/>
      <c r="D36" s="1274"/>
      <c r="E36" s="1274"/>
      <c r="F36" s="1274"/>
      <c r="G36" s="1278"/>
      <c r="H36" s="1278"/>
      <c r="I36" s="1278"/>
      <c r="J36" s="1278"/>
    </row>
    <row r="37" spans="1:15" ht="25.5">
      <c r="A37" s="1285" t="s">
        <v>661</v>
      </c>
      <c r="B37" s="1286" t="s">
        <v>662</v>
      </c>
      <c r="C37" s="1286" t="s">
        <v>663</v>
      </c>
      <c r="D37" s="1285" t="s">
        <v>818</v>
      </c>
      <c r="E37" s="1285" t="s">
        <v>819</v>
      </c>
      <c r="F37" s="1284" t="s">
        <v>817</v>
      </c>
      <c r="G37" s="1284" t="s">
        <v>768</v>
      </c>
      <c r="H37" s="1285" t="s">
        <v>821</v>
      </c>
      <c r="I37" s="1284" t="s">
        <v>21</v>
      </c>
      <c r="J37" s="1278"/>
    </row>
    <row r="38" spans="1:15">
      <c r="A38" s="1283"/>
      <c r="B38" s="1274"/>
      <c r="C38" s="1274"/>
      <c r="D38" s="1274"/>
      <c r="E38" s="1274"/>
      <c r="F38" s="1278"/>
      <c r="G38" s="1274"/>
      <c r="H38" s="1280"/>
      <c r="I38" s="1280"/>
      <c r="J38" s="1280"/>
      <c r="K38" s="1279"/>
      <c r="L38" s="1279"/>
    </row>
    <row r="39" spans="1:15" ht="15">
      <c r="A39" s="1275">
        <f>+A33+1</f>
        <v>26</v>
      </c>
      <c r="B39" s="1277" t="s">
        <v>774</v>
      </c>
      <c r="C39" s="1226">
        <v>560</v>
      </c>
      <c r="D39" s="1243"/>
      <c r="E39" s="1243"/>
      <c r="F39" s="1243"/>
      <c r="G39" s="1310"/>
      <c r="H39" s="1243"/>
      <c r="I39" s="1225">
        <f t="shared" ref="I39:I62" si="2">SUM(D39:H39)</f>
        <v>0</v>
      </c>
      <c r="J39" s="1280"/>
      <c r="K39" s="1217"/>
      <c r="L39" s="1217"/>
      <c r="M39" s="1281"/>
      <c r="N39" s="1281"/>
      <c r="O39" s="1281"/>
    </row>
    <row r="40" spans="1:15" ht="15">
      <c r="A40" s="1275">
        <f t="shared" ref="A40:A63" si="3">+A39+1</f>
        <v>27</v>
      </c>
      <c r="B40" s="1277" t="s">
        <v>775</v>
      </c>
      <c r="C40" s="1226">
        <v>561.1</v>
      </c>
      <c r="D40" s="1243"/>
      <c r="E40" s="1243"/>
      <c r="F40" s="1243"/>
      <c r="G40" s="1310"/>
      <c r="H40" s="1243"/>
      <c r="I40" s="1225">
        <f t="shared" si="2"/>
        <v>0</v>
      </c>
      <c r="J40" s="1280"/>
      <c r="K40" s="1217"/>
      <c r="L40" s="1217"/>
      <c r="M40" s="1281"/>
      <c r="N40" s="1281"/>
      <c r="O40" s="1281"/>
    </row>
    <row r="41" spans="1:15" ht="15">
      <c r="A41" s="1275">
        <f t="shared" si="3"/>
        <v>28</v>
      </c>
      <c r="B41" s="1277" t="s">
        <v>776</v>
      </c>
      <c r="C41" s="1226">
        <v>561.20000000000005</v>
      </c>
      <c r="D41" s="1243"/>
      <c r="E41" s="1243"/>
      <c r="F41" s="1243"/>
      <c r="G41" s="1310"/>
      <c r="H41" s="1243"/>
      <c r="I41" s="1225">
        <f t="shared" si="2"/>
        <v>0</v>
      </c>
      <c r="J41" s="1280"/>
      <c r="K41" s="1217"/>
      <c r="L41" s="1217"/>
      <c r="M41" s="1281"/>
      <c r="N41" s="1281"/>
      <c r="O41" s="1281"/>
    </row>
    <row r="42" spans="1:15" ht="15">
      <c r="A42" s="1275">
        <f t="shared" si="3"/>
        <v>29</v>
      </c>
      <c r="B42" s="1277" t="s">
        <v>777</v>
      </c>
      <c r="C42" s="1226">
        <v>561.29999999999995</v>
      </c>
      <c r="D42" s="1243"/>
      <c r="E42" s="1243"/>
      <c r="F42" s="1243"/>
      <c r="G42" s="1310"/>
      <c r="H42" s="1243"/>
      <c r="I42" s="1225">
        <f t="shared" si="2"/>
        <v>0</v>
      </c>
      <c r="J42" s="1280"/>
      <c r="K42" s="1217"/>
      <c r="L42" s="1217"/>
      <c r="N42" s="1281"/>
      <c r="O42" s="1281"/>
    </row>
    <row r="43" spans="1:15" ht="15">
      <c r="A43" s="1275">
        <f t="shared" si="3"/>
        <v>30</v>
      </c>
      <c r="B43" s="1277" t="s">
        <v>778</v>
      </c>
      <c r="C43" s="1226">
        <v>561.4</v>
      </c>
      <c r="D43" s="1243"/>
      <c r="E43" s="1243"/>
      <c r="F43" s="1243"/>
      <c r="G43" s="1310"/>
      <c r="H43" s="1243"/>
      <c r="I43" s="1225">
        <f t="shared" si="2"/>
        <v>0</v>
      </c>
      <c r="J43" s="1223"/>
      <c r="K43" s="1217"/>
      <c r="L43" s="1279"/>
      <c r="M43" s="1281"/>
      <c r="N43" s="1281"/>
      <c r="O43" s="1281"/>
    </row>
    <row r="44" spans="1:15" ht="15">
      <c r="A44" s="1275">
        <f t="shared" si="3"/>
        <v>31</v>
      </c>
      <c r="B44" s="1277" t="s">
        <v>779</v>
      </c>
      <c r="C44" s="1226">
        <v>561.5</v>
      </c>
      <c r="D44" s="1243"/>
      <c r="E44" s="1243"/>
      <c r="F44" s="1243"/>
      <c r="G44" s="1310"/>
      <c r="H44" s="1243"/>
      <c r="I44" s="1225">
        <f t="shared" si="2"/>
        <v>0</v>
      </c>
      <c r="J44" s="1223"/>
      <c r="K44" s="1217"/>
      <c r="L44" s="1217"/>
      <c r="M44" s="1281"/>
      <c r="N44" s="1281"/>
      <c r="O44" s="1281"/>
    </row>
    <row r="45" spans="1:15" ht="15">
      <c r="A45" s="1275">
        <f t="shared" si="3"/>
        <v>32</v>
      </c>
      <c r="B45" s="1277" t="s">
        <v>780</v>
      </c>
      <c r="C45" s="1226">
        <v>561.6</v>
      </c>
      <c r="D45" s="1243"/>
      <c r="E45" s="1243"/>
      <c r="F45" s="1243"/>
      <c r="G45" s="1310"/>
      <c r="H45" s="1243"/>
      <c r="I45" s="1225">
        <f t="shared" si="2"/>
        <v>0</v>
      </c>
      <c r="J45" s="1223"/>
      <c r="K45" s="1217"/>
      <c r="L45" s="1217"/>
      <c r="M45" s="1281"/>
      <c r="N45" s="1281"/>
      <c r="O45" s="1281"/>
    </row>
    <row r="46" spans="1:15" ht="15">
      <c r="A46" s="1275">
        <f t="shared" si="3"/>
        <v>33</v>
      </c>
      <c r="B46" s="1277" t="s">
        <v>781</v>
      </c>
      <c r="C46" s="1226">
        <v>561.70000000000005</v>
      </c>
      <c r="D46" s="1243"/>
      <c r="E46" s="1243"/>
      <c r="F46" s="1243"/>
      <c r="G46" s="1310"/>
      <c r="H46" s="1243"/>
      <c r="I46" s="1225">
        <f t="shared" si="2"/>
        <v>0</v>
      </c>
      <c r="J46" s="1223"/>
      <c r="K46" s="1217"/>
      <c r="L46" s="1217"/>
      <c r="M46" s="1281"/>
      <c r="N46" s="1281"/>
      <c r="O46" s="1281"/>
    </row>
    <row r="47" spans="1:15" ht="15">
      <c r="A47" s="1275">
        <f t="shared" si="3"/>
        <v>34</v>
      </c>
      <c r="B47" s="1277" t="s">
        <v>782</v>
      </c>
      <c r="C47" s="1226">
        <v>561.79999999999995</v>
      </c>
      <c r="D47" s="1243"/>
      <c r="E47" s="1243"/>
      <c r="F47" s="1243"/>
      <c r="G47" s="1310"/>
      <c r="H47" s="1243"/>
      <c r="I47" s="1225">
        <f t="shared" si="2"/>
        <v>0</v>
      </c>
      <c r="J47" s="1280"/>
      <c r="K47" s="1217"/>
      <c r="L47" s="1217"/>
      <c r="M47" s="1281"/>
      <c r="N47" s="1281"/>
      <c r="O47" s="1281"/>
    </row>
    <row r="48" spans="1:15" ht="15">
      <c r="A48" s="1275">
        <f t="shared" si="3"/>
        <v>35</v>
      </c>
      <c r="B48" s="1277" t="s">
        <v>788</v>
      </c>
      <c r="C48" s="1226">
        <v>562</v>
      </c>
      <c r="D48" s="1243"/>
      <c r="E48" s="1243"/>
      <c r="F48" s="1243"/>
      <c r="G48" s="1310"/>
      <c r="H48" s="1243"/>
      <c r="I48" s="1225">
        <f t="shared" si="2"/>
        <v>0</v>
      </c>
      <c r="J48" s="1280"/>
      <c r="K48" s="1279"/>
      <c r="L48" s="1279"/>
    </row>
    <row r="49" spans="1:12" ht="15">
      <c r="A49" s="1275">
        <f t="shared" si="3"/>
        <v>36</v>
      </c>
      <c r="B49" s="1277" t="s">
        <v>789</v>
      </c>
      <c r="C49" s="1226">
        <v>563</v>
      </c>
      <c r="D49" s="1243"/>
      <c r="E49" s="1243"/>
      <c r="F49" s="1243"/>
      <c r="G49" s="1310"/>
      <c r="H49" s="1243"/>
      <c r="I49" s="1225">
        <f t="shared" si="2"/>
        <v>0</v>
      </c>
      <c r="J49" s="1280"/>
      <c r="K49" s="1279"/>
      <c r="L49" s="1279"/>
    </row>
    <row r="50" spans="1:12" ht="15">
      <c r="A50" s="1275">
        <f t="shared" si="3"/>
        <v>37</v>
      </c>
      <c r="B50" s="1277" t="s">
        <v>790</v>
      </c>
      <c r="C50" s="1226">
        <v>564</v>
      </c>
      <c r="D50" s="1243"/>
      <c r="E50" s="1243"/>
      <c r="F50" s="1243"/>
      <c r="G50" s="1310"/>
      <c r="H50" s="1243"/>
      <c r="I50" s="1225">
        <f t="shared" si="2"/>
        <v>0</v>
      </c>
      <c r="J50" s="1278"/>
    </row>
    <row r="51" spans="1:12" ht="15">
      <c r="A51" s="1275">
        <f t="shared" si="3"/>
        <v>38</v>
      </c>
      <c r="B51" s="1277" t="s">
        <v>791</v>
      </c>
      <c r="C51" s="1226">
        <v>565</v>
      </c>
      <c r="D51" s="1243"/>
      <c r="E51" s="1243"/>
      <c r="F51" s="1243"/>
      <c r="G51" s="1310"/>
      <c r="H51" s="1243"/>
      <c r="I51" s="1225">
        <f t="shared" si="2"/>
        <v>0</v>
      </c>
      <c r="J51" s="1278"/>
    </row>
    <row r="52" spans="1:12" ht="15">
      <c r="A52" s="1275">
        <f t="shared" si="3"/>
        <v>39</v>
      </c>
      <c r="B52" s="1277" t="s">
        <v>792</v>
      </c>
      <c r="C52" s="1226">
        <v>566</v>
      </c>
      <c r="D52" s="1243"/>
      <c r="E52" s="1243">
        <v>2016345</v>
      </c>
      <c r="F52" s="1243"/>
      <c r="G52" s="1310"/>
      <c r="H52" s="1243"/>
      <c r="I52" s="1225">
        <f t="shared" si="2"/>
        <v>2016345</v>
      </c>
      <c r="J52" s="1278"/>
    </row>
    <row r="53" spans="1:12" ht="15">
      <c r="A53" s="1275">
        <f t="shared" si="3"/>
        <v>40</v>
      </c>
      <c r="B53" s="1277" t="s">
        <v>783</v>
      </c>
      <c r="C53" s="1226">
        <v>567</v>
      </c>
      <c r="D53" s="1243"/>
      <c r="E53" s="1243"/>
      <c r="F53" s="1243"/>
      <c r="G53" s="1310"/>
      <c r="H53" s="1243"/>
      <c r="I53" s="1225">
        <f t="shared" si="2"/>
        <v>0</v>
      </c>
      <c r="J53" s="1278"/>
    </row>
    <row r="54" spans="1:12" ht="15">
      <c r="A54" s="1275">
        <f t="shared" si="3"/>
        <v>41</v>
      </c>
      <c r="B54" s="1277" t="s">
        <v>793</v>
      </c>
      <c r="C54" s="1226">
        <v>568</v>
      </c>
      <c r="D54" s="1243"/>
      <c r="E54" s="1243"/>
      <c r="F54" s="1243"/>
      <c r="G54" s="1310"/>
      <c r="H54" s="1243"/>
      <c r="I54" s="1225">
        <f t="shared" si="2"/>
        <v>0</v>
      </c>
    </row>
    <row r="55" spans="1:12" ht="15">
      <c r="A55" s="1275">
        <f t="shared" si="3"/>
        <v>42</v>
      </c>
      <c r="B55" s="1277" t="s">
        <v>794</v>
      </c>
      <c r="C55" s="1226">
        <v>569</v>
      </c>
      <c r="D55" s="1243"/>
      <c r="E55" s="1243"/>
      <c r="F55" s="1243"/>
      <c r="G55" s="1310"/>
      <c r="H55" s="1243"/>
      <c r="I55" s="1225">
        <f t="shared" si="2"/>
        <v>0</v>
      </c>
    </row>
    <row r="56" spans="1:12" ht="15">
      <c r="A56" s="1275">
        <f t="shared" si="3"/>
        <v>43</v>
      </c>
      <c r="B56" s="1277" t="s">
        <v>784</v>
      </c>
      <c r="C56" s="1226">
        <v>569.1</v>
      </c>
      <c r="D56" s="1243"/>
      <c r="E56" s="1243"/>
      <c r="F56" s="1243"/>
      <c r="G56" s="1310"/>
      <c r="H56" s="1243"/>
      <c r="I56" s="1225">
        <f t="shared" si="2"/>
        <v>0</v>
      </c>
    </row>
    <row r="57" spans="1:12" ht="15">
      <c r="A57" s="1275">
        <f t="shared" si="3"/>
        <v>44</v>
      </c>
      <c r="B57" s="1277" t="s">
        <v>785</v>
      </c>
      <c r="C57" s="1226">
        <v>569.20000000000005</v>
      </c>
      <c r="D57" s="1243"/>
      <c r="E57" s="1243"/>
      <c r="F57" s="1243"/>
      <c r="G57" s="1310"/>
      <c r="H57" s="1243"/>
      <c r="I57" s="1225">
        <f t="shared" si="2"/>
        <v>0</v>
      </c>
    </row>
    <row r="58" spans="1:12" ht="15">
      <c r="A58" s="1275">
        <f t="shared" si="3"/>
        <v>45</v>
      </c>
      <c r="B58" s="1277" t="s">
        <v>786</v>
      </c>
      <c r="C58" s="1226">
        <v>569.29999999999995</v>
      </c>
      <c r="D58" s="1243"/>
      <c r="E58" s="1243"/>
      <c r="F58" s="1243"/>
      <c r="G58" s="1310"/>
      <c r="H58" s="1243"/>
      <c r="I58" s="1225">
        <f t="shared" si="2"/>
        <v>0</v>
      </c>
    </row>
    <row r="59" spans="1:12" ht="15">
      <c r="A59" s="1275">
        <f t="shared" si="3"/>
        <v>46</v>
      </c>
      <c r="B59" s="1277" t="s">
        <v>787</v>
      </c>
      <c r="C59" s="1226">
        <v>569.4</v>
      </c>
      <c r="D59" s="1243"/>
      <c r="E59" s="1243"/>
      <c r="F59" s="1243"/>
      <c r="G59" s="1310"/>
      <c r="H59" s="1243"/>
      <c r="I59" s="1225">
        <f t="shared" si="2"/>
        <v>0</v>
      </c>
    </row>
    <row r="60" spans="1:12" ht="15">
      <c r="A60" s="1275">
        <f t="shared" si="3"/>
        <v>47</v>
      </c>
      <c r="B60" s="1277" t="s">
        <v>795</v>
      </c>
      <c r="C60" s="1226">
        <v>570</v>
      </c>
      <c r="D60" s="1243"/>
      <c r="E60" s="1243"/>
      <c r="F60" s="1243"/>
      <c r="G60" s="1310"/>
      <c r="H60" s="1243"/>
      <c r="I60" s="1225">
        <f t="shared" si="2"/>
        <v>0</v>
      </c>
    </row>
    <row r="61" spans="1:12" ht="15">
      <c r="A61" s="1275">
        <f t="shared" si="3"/>
        <v>48</v>
      </c>
      <c r="B61" s="1277" t="s">
        <v>796</v>
      </c>
      <c r="C61" s="1226">
        <v>571</v>
      </c>
      <c r="D61" s="1243"/>
      <c r="E61" s="1243"/>
      <c r="F61" s="1243"/>
      <c r="G61" s="1310"/>
      <c r="H61" s="1243"/>
      <c r="I61" s="1225">
        <f t="shared" si="2"/>
        <v>0</v>
      </c>
    </row>
    <row r="62" spans="1:12" ht="15">
      <c r="A62" s="1275">
        <f t="shared" si="3"/>
        <v>49</v>
      </c>
      <c r="B62" s="1277" t="s">
        <v>797</v>
      </c>
      <c r="C62" s="1226">
        <v>572</v>
      </c>
      <c r="D62" s="1243"/>
      <c r="E62" s="1243"/>
      <c r="F62" s="1243"/>
      <c r="G62" s="1310"/>
      <c r="H62" s="1243"/>
      <c r="I62" s="1225">
        <f t="shared" si="2"/>
        <v>0</v>
      </c>
    </row>
    <row r="63" spans="1:12" ht="13.5" thickBot="1">
      <c r="A63" s="1275">
        <f t="shared" si="3"/>
        <v>50</v>
      </c>
      <c r="B63" s="1274" t="s">
        <v>21</v>
      </c>
      <c r="C63" s="1274"/>
      <c r="D63" s="1273">
        <f>SUM(D39:D62)</f>
        <v>0</v>
      </c>
      <c r="E63" s="1273">
        <f>SUM(E39:E62)</f>
        <v>2016345</v>
      </c>
      <c r="F63" s="1273">
        <f>SUM(F39:F62)</f>
        <v>0</v>
      </c>
      <c r="H63" s="1273">
        <f>SUM(H39:H62)</f>
        <v>0</v>
      </c>
      <c r="I63" s="1273">
        <f>SUM(I39:I62)</f>
        <v>2016345</v>
      </c>
    </row>
    <row r="64" spans="1:12" ht="13.5" thickTop="1"/>
    <row r="65" spans="2:2">
      <c r="B65" s="1272" t="s">
        <v>798</v>
      </c>
    </row>
    <row r="66" spans="2:2">
      <c r="B66" s="1272" t="s">
        <v>957</v>
      </c>
    </row>
    <row r="67" spans="2:2" ht="14.25">
      <c r="B67" s="1272" t="s">
        <v>820</v>
      </c>
    </row>
  </sheetData>
  <mergeCells count="2">
    <mergeCell ref="A1:F1"/>
    <mergeCell ref="A2:F2"/>
  </mergeCells>
  <pageMargins left="0.25" right="0.25" top="0.75" bottom="0.75" header="0.3" footer="0.3"/>
  <pageSetup scale="2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R61"/>
  <sheetViews>
    <sheetView workbookViewId="0">
      <selection activeCell="E10" sqref="E10"/>
    </sheetView>
  </sheetViews>
  <sheetFormatPr defaultColWidth="8.77734375" defaultRowHeight="12.75"/>
  <cols>
    <col min="1" max="1" width="3.77734375" style="1270" customWidth="1"/>
    <col min="2" max="2" width="29.109375" style="1270" customWidth="1"/>
    <col min="3" max="3" width="14.21875" style="1270" customWidth="1"/>
    <col min="4" max="4" width="15.21875" style="1270" bestFit="1" customWidth="1"/>
    <col min="5" max="5" width="8.77734375" style="1270" customWidth="1"/>
    <col min="6" max="6" width="7.21875" style="1270" bestFit="1" customWidth="1"/>
    <col min="7" max="7" width="8.77734375" style="1270" customWidth="1"/>
    <col min="8" max="8" width="10.109375" style="1270" customWidth="1"/>
    <col min="9" max="9" width="8.77734375" style="844"/>
    <col min="10" max="16384" width="8.77734375" style="1270"/>
  </cols>
  <sheetData>
    <row r="1" spans="1:18" ht="15">
      <c r="A1" s="1640" t="s">
        <v>834</v>
      </c>
      <c r="B1" s="1641"/>
      <c r="C1" s="1641"/>
      <c r="D1" s="1641"/>
      <c r="E1" s="1641"/>
      <c r="F1" s="1641"/>
      <c r="G1" s="1641"/>
      <c r="H1" s="1064"/>
      <c r="I1" s="411"/>
      <c r="J1" s="1064"/>
      <c r="K1" s="1064"/>
      <c r="L1" s="1064"/>
      <c r="M1" s="1064"/>
      <c r="N1" s="1064"/>
      <c r="O1" s="1064"/>
      <c r="P1" s="1064"/>
      <c r="Q1" s="1064"/>
      <c r="R1" s="1064"/>
    </row>
    <row r="2" spans="1:18" ht="15.75">
      <c r="A2" s="1641" t="s">
        <v>491</v>
      </c>
      <c r="B2" s="1641"/>
      <c r="C2" s="1641"/>
      <c r="D2" s="1641"/>
      <c r="E2" s="1641"/>
      <c r="F2" s="1641"/>
      <c r="G2" s="1641"/>
      <c r="H2" s="1500" t="s">
        <v>1080</v>
      </c>
      <c r="I2" s="1311"/>
      <c r="J2" s="1064"/>
      <c r="K2" s="1064"/>
      <c r="L2" s="1064"/>
      <c r="M2" s="1064"/>
      <c r="N2" s="1064"/>
      <c r="O2" s="1064"/>
      <c r="P2" s="1064"/>
      <c r="Q2" s="1064"/>
      <c r="R2" s="1064"/>
    </row>
    <row r="3" spans="1:18" ht="15">
      <c r="H3" s="1485">
        <v>44560</v>
      </c>
      <c r="I3" s="1250"/>
    </row>
    <row r="4" spans="1:18">
      <c r="A4" s="1278"/>
      <c r="B4" s="1278"/>
      <c r="C4" s="1278"/>
      <c r="D4" s="1278"/>
      <c r="E4" s="1278"/>
      <c r="F4" s="1278"/>
      <c r="G4" s="1278"/>
      <c r="H4" s="1278"/>
      <c r="I4" s="1312"/>
      <c r="J4" s="1278"/>
      <c r="K4" s="1278"/>
    </row>
    <row r="5" spans="1:18">
      <c r="A5" s="1278"/>
      <c r="B5" s="1278"/>
      <c r="C5" s="1278"/>
      <c r="D5" s="1278"/>
      <c r="E5" s="1278"/>
      <c r="F5" s="1278"/>
      <c r="G5" s="1278"/>
      <c r="H5" s="1278"/>
      <c r="I5" s="1312"/>
      <c r="J5" s="1278"/>
      <c r="K5" s="1278"/>
    </row>
    <row r="6" spans="1:18">
      <c r="A6" s="1317" t="s">
        <v>814</v>
      </c>
      <c r="B6" s="1287"/>
      <c r="C6" s="1287"/>
      <c r="D6" s="1274"/>
      <c r="E6" s="1274"/>
      <c r="F6" s="1274"/>
      <c r="G6" s="1274"/>
      <c r="H6" s="1278"/>
      <c r="I6" s="1312"/>
      <c r="J6" s="1278"/>
      <c r="K6" s="1278"/>
    </row>
    <row r="7" spans="1:18">
      <c r="A7" s="1274"/>
      <c r="B7" s="1274"/>
      <c r="C7" s="1274"/>
      <c r="D7" s="1274"/>
      <c r="E7" s="1274"/>
      <c r="F7" s="1274"/>
      <c r="G7" s="1274"/>
      <c r="H7" s="1278"/>
      <c r="I7" s="1312"/>
      <c r="J7" s="1278"/>
      <c r="K7" s="1278"/>
    </row>
    <row r="8" spans="1:18">
      <c r="A8" s="1274" t="s">
        <v>661</v>
      </c>
      <c r="B8" s="1274" t="s">
        <v>696</v>
      </c>
      <c r="C8" s="1274"/>
      <c r="D8" s="1274" t="s">
        <v>665</v>
      </c>
      <c r="E8" s="1274" t="s">
        <v>664</v>
      </c>
      <c r="F8" s="1278" t="s">
        <v>767</v>
      </c>
      <c r="G8" s="1278" t="s">
        <v>768</v>
      </c>
      <c r="H8" s="1274" t="s">
        <v>769</v>
      </c>
      <c r="I8" s="1312" t="s">
        <v>21</v>
      </c>
      <c r="J8" s="1278"/>
      <c r="K8" s="1278"/>
    </row>
    <row r="9" spans="1:18">
      <c r="A9" s="1274"/>
      <c r="B9" s="1274"/>
      <c r="C9" s="1274"/>
      <c r="D9" s="1274"/>
      <c r="E9" s="1274"/>
      <c r="F9" s="1278"/>
      <c r="G9" s="1274"/>
      <c r="H9" s="1280"/>
      <c r="I9" s="1223"/>
      <c r="J9" s="1278"/>
      <c r="K9" s="1278"/>
    </row>
    <row r="10" spans="1:18">
      <c r="A10" s="1275">
        <v>1</v>
      </c>
      <c r="B10" s="1243" t="s">
        <v>1083</v>
      </c>
      <c r="C10" s="1244"/>
      <c r="D10" s="1487"/>
      <c r="E10" s="1314">
        <v>105030</v>
      </c>
      <c r="F10" s="1310"/>
      <c r="G10" s="1310"/>
      <c r="H10" s="1243">
        <f>+'WP1 - O&amp;M detail'!H33*0.5</f>
        <v>0</v>
      </c>
      <c r="I10" s="1225">
        <f>+D10+E10+H10</f>
        <v>105030</v>
      </c>
      <c r="J10" s="1278"/>
      <c r="K10" s="1278"/>
    </row>
    <row r="11" spans="1:18">
      <c r="A11" s="1224">
        <f t="shared" ref="A11:A25" si="0">+A10+1</f>
        <v>2</v>
      </c>
      <c r="B11" s="1282"/>
      <c r="C11" s="1244"/>
      <c r="D11" s="1310"/>
      <c r="E11" s="1311"/>
      <c r="F11" s="1310"/>
      <c r="G11" s="1310"/>
      <c r="H11" s="1310"/>
      <c r="I11" s="1225">
        <f t="shared" ref="I11:I24" si="1">+D11+E11+H11</f>
        <v>0</v>
      </c>
      <c r="J11" s="1278"/>
      <c r="K11" s="1278"/>
    </row>
    <row r="12" spans="1:18">
      <c r="A12" s="1224">
        <f t="shared" si="0"/>
        <v>3</v>
      </c>
      <c r="B12" s="1282"/>
      <c r="C12" s="1244"/>
      <c r="D12" s="1310"/>
      <c r="E12" s="1311"/>
      <c r="F12" s="1310"/>
      <c r="G12" s="1310"/>
      <c r="H12" s="1310"/>
      <c r="I12" s="1225">
        <f t="shared" si="1"/>
        <v>0</v>
      </c>
      <c r="J12" s="1278"/>
      <c r="K12" s="1278"/>
    </row>
    <row r="13" spans="1:18">
      <c r="A13" s="1224">
        <f t="shared" si="0"/>
        <v>4</v>
      </c>
      <c r="B13" s="1282"/>
      <c r="C13" s="1244"/>
      <c r="D13" s="1310"/>
      <c r="E13" s="1311"/>
      <c r="F13" s="1310"/>
      <c r="G13" s="1310"/>
      <c r="H13" s="1310"/>
      <c r="I13" s="1225">
        <f t="shared" si="1"/>
        <v>0</v>
      </c>
      <c r="J13" s="1278"/>
      <c r="K13" s="1278"/>
    </row>
    <row r="14" spans="1:18">
      <c r="A14" s="1224">
        <f t="shared" si="0"/>
        <v>5</v>
      </c>
      <c r="B14" s="1282"/>
      <c r="C14" s="1244"/>
      <c r="D14" s="1310"/>
      <c r="E14" s="1311"/>
      <c r="F14" s="1310"/>
      <c r="G14" s="1310"/>
      <c r="H14" s="1310"/>
      <c r="I14" s="1225">
        <f t="shared" si="1"/>
        <v>0</v>
      </c>
      <c r="J14" s="1278"/>
      <c r="K14" s="1278"/>
    </row>
    <row r="15" spans="1:18">
      <c r="A15" s="1224">
        <f t="shared" si="0"/>
        <v>6</v>
      </c>
      <c r="B15" s="1282"/>
      <c r="C15" s="1244"/>
      <c r="D15" s="1310"/>
      <c r="E15" s="1311"/>
      <c r="F15" s="1310"/>
      <c r="G15" s="1310"/>
      <c r="H15" s="1310"/>
      <c r="I15" s="1225">
        <f t="shared" si="1"/>
        <v>0</v>
      </c>
      <c r="J15" s="1278"/>
      <c r="K15" s="1278"/>
    </row>
    <row r="16" spans="1:18">
      <c r="A16" s="1224">
        <f t="shared" si="0"/>
        <v>7</v>
      </c>
      <c r="B16" s="1282"/>
      <c r="C16" s="1244"/>
      <c r="D16" s="1310"/>
      <c r="E16" s="1311"/>
      <c r="F16" s="1310"/>
      <c r="G16" s="1310"/>
      <c r="H16" s="1310"/>
      <c r="I16" s="1225">
        <f t="shared" si="1"/>
        <v>0</v>
      </c>
      <c r="J16" s="1278"/>
      <c r="K16" s="1278"/>
    </row>
    <row r="17" spans="1:11">
      <c r="A17" s="1224">
        <f t="shared" si="0"/>
        <v>8</v>
      </c>
      <c r="B17" s="1282"/>
      <c r="C17" s="1244"/>
      <c r="D17" s="1310"/>
      <c r="E17" s="1311"/>
      <c r="F17" s="1310"/>
      <c r="G17" s="1310"/>
      <c r="H17" s="1310"/>
      <c r="I17" s="1225">
        <f t="shared" si="1"/>
        <v>0</v>
      </c>
      <c r="J17" s="1278"/>
      <c r="K17" s="1278"/>
    </row>
    <row r="18" spans="1:11">
      <c r="A18" s="1224">
        <f t="shared" si="0"/>
        <v>9</v>
      </c>
      <c r="B18" s="1282"/>
      <c r="C18" s="1244"/>
      <c r="D18" s="1310"/>
      <c r="E18" s="1311"/>
      <c r="F18" s="1310"/>
      <c r="G18" s="1310"/>
      <c r="H18" s="1310"/>
      <c r="I18" s="1225">
        <f t="shared" si="1"/>
        <v>0</v>
      </c>
      <c r="J18" s="1278"/>
      <c r="K18" s="1278"/>
    </row>
    <row r="19" spans="1:11">
      <c r="A19" s="1224">
        <f t="shared" si="0"/>
        <v>10</v>
      </c>
      <c r="B19" s="1282"/>
      <c r="C19" s="1244"/>
      <c r="D19" s="1310"/>
      <c r="E19" s="1311"/>
      <c r="F19" s="1310"/>
      <c r="G19" s="1310"/>
      <c r="H19" s="1310"/>
      <c r="I19" s="1225">
        <f t="shared" si="1"/>
        <v>0</v>
      </c>
      <c r="J19" s="1278"/>
      <c r="K19" s="1278"/>
    </row>
    <row r="20" spans="1:11">
      <c r="A20" s="1224">
        <f t="shared" si="0"/>
        <v>11</v>
      </c>
      <c r="B20" s="1282"/>
      <c r="C20" s="1244"/>
      <c r="D20" s="1310"/>
      <c r="E20" s="1311"/>
      <c r="F20" s="1310"/>
      <c r="G20" s="1310"/>
      <c r="H20" s="1310"/>
      <c r="I20" s="1225">
        <f t="shared" si="1"/>
        <v>0</v>
      </c>
      <c r="J20" s="1278"/>
      <c r="K20" s="1278"/>
    </row>
    <row r="21" spans="1:11">
      <c r="A21" s="1224">
        <f t="shared" si="0"/>
        <v>12</v>
      </c>
      <c r="B21" s="1282"/>
      <c r="C21" s="1244"/>
      <c r="D21" s="1310"/>
      <c r="E21" s="1311"/>
      <c r="F21" s="1310"/>
      <c r="G21" s="1310"/>
      <c r="H21" s="1310"/>
      <c r="I21" s="1225">
        <f t="shared" si="1"/>
        <v>0</v>
      </c>
      <c r="J21" s="1278"/>
      <c r="K21" s="1278"/>
    </row>
    <row r="22" spans="1:11">
      <c r="A22" s="1224">
        <f t="shared" si="0"/>
        <v>13</v>
      </c>
      <c r="B22" s="1282"/>
      <c r="C22" s="1244"/>
      <c r="D22" s="1310"/>
      <c r="E22" s="1311"/>
      <c r="F22" s="1310"/>
      <c r="G22" s="1310"/>
      <c r="H22" s="1310"/>
      <c r="I22" s="1225">
        <f t="shared" si="1"/>
        <v>0</v>
      </c>
      <c r="J22" s="1278"/>
      <c r="K22" s="1278"/>
    </row>
    <row r="23" spans="1:11">
      <c r="A23" s="1224">
        <f t="shared" si="0"/>
        <v>14</v>
      </c>
      <c r="B23" s="1282"/>
      <c r="C23" s="1244"/>
      <c r="D23" s="1310"/>
      <c r="E23" s="1311"/>
      <c r="F23" s="1310"/>
      <c r="G23" s="1310"/>
      <c r="H23" s="1310"/>
      <c r="I23" s="1225">
        <f t="shared" si="1"/>
        <v>0</v>
      </c>
      <c r="J23" s="1278"/>
      <c r="K23" s="1278"/>
    </row>
    <row r="24" spans="1:11">
      <c r="A24" s="1224">
        <f t="shared" si="0"/>
        <v>15</v>
      </c>
      <c r="B24" s="1282"/>
      <c r="C24" s="1244"/>
      <c r="D24" s="1310"/>
      <c r="E24" s="1311"/>
      <c r="F24" s="1310"/>
      <c r="G24" s="1310"/>
      <c r="H24" s="1310"/>
      <c r="I24" s="1225">
        <f t="shared" si="1"/>
        <v>0</v>
      </c>
      <c r="J24" s="1278"/>
      <c r="K24" s="1278"/>
    </row>
    <row r="25" spans="1:11">
      <c r="A25" s="1224">
        <f t="shared" si="0"/>
        <v>16</v>
      </c>
      <c r="B25" s="1293" t="s">
        <v>21</v>
      </c>
      <c r="C25" s="1293"/>
      <c r="D25" s="1313"/>
      <c r="E25" s="1313"/>
      <c r="F25" s="1313"/>
      <c r="G25" s="1312"/>
      <c r="H25" s="1312"/>
      <c r="I25" s="1312">
        <f>SUM(I10:I24)</f>
        <v>105030</v>
      </c>
      <c r="J25" s="1278"/>
      <c r="K25" s="1278"/>
    </row>
    <row r="26" spans="1:11">
      <c r="A26" s="1274"/>
      <c r="B26" s="1274" t="s">
        <v>8</v>
      </c>
      <c r="C26" s="1274"/>
      <c r="D26" s="1274"/>
      <c r="E26" s="1274"/>
      <c r="F26" s="1274"/>
      <c r="G26" s="1274"/>
      <c r="H26" s="1278"/>
      <c r="I26" s="1312"/>
      <c r="J26" s="1278"/>
      <c r="K26" s="1278"/>
    </row>
    <row r="27" spans="1:11">
      <c r="A27" s="1317" t="s">
        <v>830</v>
      </c>
      <c r="B27" s="1287"/>
      <c r="C27" s="1287"/>
      <c r="D27" s="1274"/>
      <c r="E27" s="1274"/>
      <c r="F27" s="1274"/>
      <c r="G27" s="1274"/>
      <c r="H27" s="1278"/>
      <c r="I27" s="1312"/>
      <c r="J27" s="1278"/>
      <c r="K27" s="1278"/>
    </row>
    <row r="28" spans="1:11">
      <c r="A28" s="1274"/>
      <c r="B28" s="1274"/>
      <c r="C28" s="1274"/>
      <c r="D28" s="1274"/>
      <c r="E28" s="1274"/>
      <c r="F28" s="1274"/>
      <c r="G28" s="1274"/>
      <c r="H28" s="1278"/>
      <c r="I28" s="1312"/>
      <c r="J28" s="1278"/>
      <c r="K28" s="1278"/>
    </row>
    <row r="29" spans="1:11">
      <c r="A29" s="1274" t="s">
        <v>661</v>
      </c>
      <c r="B29" s="1274" t="s">
        <v>662</v>
      </c>
      <c r="C29" s="1274" t="s">
        <v>663</v>
      </c>
      <c r="D29" s="1274" t="s">
        <v>665</v>
      </c>
      <c r="E29" s="1274" t="s">
        <v>664</v>
      </c>
      <c r="F29" s="1278" t="s">
        <v>767</v>
      </c>
      <c r="G29" s="1278" t="s">
        <v>768</v>
      </c>
      <c r="H29" s="1274" t="s">
        <v>769</v>
      </c>
      <c r="I29" s="1312" t="s">
        <v>21</v>
      </c>
      <c r="J29" s="1278"/>
      <c r="K29" s="1278"/>
    </row>
    <row r="30" spans="1:11">
      <c r="A30" s="1283"/>
      <c r="B30" s="1274"/>
      <c r="C30" s="1274"/>
      <c r="D30" s="1274"/>
      <c r="E30" s="1274"/>
      <c r="F30" s="1278"/>
      <c r="G30" s="1274"/>
      <c r="H30" s="1280"/>
      <c r="I30" s="1223"/>
      <c r="J30" s="1278"/>
      <c r="K30" s="1278"/>
    </row>
    <row r="31" spans="1:11">
      <c r="A31" s="1224">
        <f>+A25+1</f>
        <v>17</v>
      </c>
      <c r="B31" s="1225" t="s">
        <v>799</v>
      </c>
      <c r="C31" s="1227">
        <v>920</v>
      </c>
      <c r="D31" s="1243"/>
      <c r="E31" s="1243"/>
      <c r="F31" s="1243"/>
      <c r="G31" s="1310"/>
      <c r="H31" s="1243"/>
      <c r="I31" s="1225">
        <f>+D31+E31+F31+H31</f>
        <v>0</v>
      </c>
      <c r="J31" s="1278"/>
      <c r="K31" s="1278"/>
    </row>
    <row r="32" spans="1:11">
      <c r="A32" s="1224">
        <f t="shared" ref="A32:A46" si="2">+A31+1</f>
        <v>18</v>
      </c>
      <c r="B32" s="1287" t="s">
        <v>800</v>
      </c>
      <c r="C32" s="1227">
        <v>921</v>
      </c>
      <c r="D32" s="1310"/>
      <c r="E32" s="1310"/>
      <c r="F32" s="1310"/>
      <c r="G32" s="1310"/>
      <c r="H32" s="1243"/>
      <c r="I32" s="1225">
        <f t="shared" ref="I32:I45" si="3">+D32+E32+F32+H32</f>
        <v>0</v>
      </c>
      <c r="J32" s="1278"/>
      <c r="K32" s="1278"/>
    </row>
    <row r="33" spans="1:11">
      <c r="A33" s="1224">
        <f t="shared" si="2"/>
        <v>19</v>
      </c>
      <c r="B33" s="1287" t="s">
        <v>801</v>
      </c>
      <c r="C33" s="1227">
        <v>922</v>
      </c>
      <c r="D33" s="1310"/>
      <c r="E33" s="1310"/>
      <c r="F33" s="1310"/>
      <c r="G33" s="1310"/>
      <c r="H33" s="1243"/>
      <c r="I33" s="1225">
        <f t="shared" si="3"/>
        <v>0</v>
      </c>
      <c r="J33" s="1278"/>
      <c r="K33" s="1278"/>
    </row>
    <row r="34" spans="1:11">
      <c r="A34" s="1224">
        <f t="shared" si="2"/>
        <v>20</v>
      </c>
      <c r="B34" s="1287" t="s">
        <v>802</v>
      </c>
      <c r="C34" s="1227">
        <v>923</v>
      </c>
      <c r="D34" s="1310"/>
      <c r="E34" s="1310">
        <v>105030</v>
      </c>
      <c r="F34" s="1310"/>
      <c r="G34" s="1310"/>
      <c r="H34" s="1243"/>
      <c r="I34" s="1225">
        <f t="shared" si="3"/>
        <v>105030</v>
      </c>
      <c r="J34" s="1278"/>
      <c r="K34" s="1278"/>
    </row>
    <row r="35" spans="1:11">
      <c r="A35" s="1224">
        <f t="shared" si="2"/>
        <v>21</v>
      </c>
      <c r="B35" s="1287" t="s">
        <v>803</v>
      </c>
      <c r="C35" s="1227">
        <v>924</v>
      </c>
      <c r="D35" s="1310"/>
      <c r="E35" s="1310"/>
      <c r="F35" s="1310"/>
      <c r="G35" s="1310"/>
      <c r="H35" s="1243"/>
      <c r="I35" s="1225">
        <f t="shared" si="3"/>
        <v>0</v>
      </c>
      <c r="J35" s="1278"/>
      <c r="K35" s="1278"/>
    </row>
    <row r="36" spans="1:11">
      <c r="A36" s="1224">
        <f t="shared" si="2"/>
        <v>22</v>
      </c>
      <c r="B36" s="1287" t="s">
        <v>804</v>
      </c>
      <c r="C36" s="1227">
        <v>925</v>
      </c>
      <c r="D36" s="1310"/>
      <c r="E36" s="1310"/>
      <c r="F36" s="1310"/>
      <c r="G36" s="1310"/>
      <c r="H36" s="1243"/>
      <c r="I36" s="1225">
        <f t="shared" si="3"/>
        <v>0</v>
      </c>
      <c r="J36" s="1278"/>
      <c r="K36" s="1278"/>
    </row>
    <row r="37" spans="1:11">
      <c r="A37" s="1224">
        <f t="shared" si="2"/>
        <v>23</v>
      </c>
      <c r="B37" s="1287" t="s">
        <v>805</v>
      </c>
      <c r="C37" s="1227">
        <v>926</v>
      </c>
      <c r="D37" s="1310"/>
      <c r="E37" s="1310"/>
      <c r="F37" s="1310"/>
      <c r="G37" s="1310"/>
      <c r="H37" s="1243"/>
      <c r="I37" s="1225">
        <f t="shared" si="3"/>
        <v>0</v>
      </c>
      <c r="J37" s="1278"/>
      <c r="K37" s="1278"/>
    </row>
    <row r="38" spans="1:11">
      <c r="A38" s="1224">
        <f t="shared" si="2"/>
        <v>24</v>
      </c>
      <c r="B38" s="1287" t="s">
        <v>806</v>
      </c>
      <c r="C38" s="1227">
        <v>927</v>
      </c>
      <c r="D38" s="1310"/>
      <c r="E38" s="1310"/>
      <c r="F38" s="1310"/>
      <c r="G38" s="1310"/>
      <c r="H38" s="1243"/>
      <c r="I38" s="1225">
        <f t="shared" si="3"/>
        <v>0</v>
      </c>
      <c r="J38" s="1278"/>
      <c r="K38" s="1278"/>
    </row>
    <row r="39" spans="1:11">
      <c r="A39" s="1224">
        <f t="shared" si="2"/>
        <v>25</v>
      </c>
      <c r="B39" s="1287" t="s">
        <v>807</v>
      </c>
      <c r="C39" s="1227">
        <v>928</v>
      </c>
      <c r="D39" s="1310"/>
      <c r="E39" s="1310"/>
      <c r="F39" s="1310"/>
      <c r="G39" s="1310"/>
      <c r="H39" s="1243"/>
      <c r="I39" s="1225">
        <f t="shared" si="3"/>
        <v>0</v>
      </c>
      <c r="J39" s="1278"/>
      <c r="K39" s="1278"/>
    </row>
    <row r="40" spans="1:11">
      <c r="A40" s="1224">
        <f t="shared" si="2"/>
        <v>26</v>
      </c>
      <c r="B40" s="1287" t="s">
        <v>808</v>
      </c>
      <c r="C40" s="1227">
        <v>929</v>
      </c>
      <c r="D40" s="1310"/>
      <c r="E40" s="1310"/>
      <c r="F40" s="1310"/>
      <c r="G40" s="1310"/>
      <c r="H40" s="1243"/>
      <c r="I40" s="1225">
        <f t="shared" si="3"/>
        <v>0</v>
      </c>
      <c r="J40" s="1278"/>
      <c r="K40" s="1278"/>
    </row>
    <row r="41" spans="1:11">
      <c r="A41" s="1224">
        <f t="shared" si="2"/>
        <v>27</v>
      </c>
      <c r="B41" s="1287" t="s">
        <v>809</v>
      </c>
      <c r="C41" s="1227">
        <v>930.1</v>
      </c>
      <c r="D41" s="1310"/>
      <c r="E41" s="1310"/>
      <c r="F41" s="1310"/>
      <c r="G41" s="1310"/>
      <c r="H41" s="1243"/>
      <c r="I41" s="1225">
        <f t="shared" si="3"/>
        <v>0</v>
      </c>
      <c r="J41" s="1278"/>
      <c r="K41" s="1278"/>
    </row>
    <row r="42" spans="1:11">
      <c r="A42" s="1224">
        <f t="shared" si="2"/>
        <v>28</v>
      </c>
      <c r="B42" s="1287" t="s">
        <v>810</v>
      </c>
      <c r="C42" s="1227">
        <v>930.2</v>
      </c>
      <c r="D42" s="1310"/>
      <c r="E42" s="1310"/>
      <c r="F42" s="1310"/>
      <c r="G42" s="1310"/>
      <c r="H42" s="1243"/>
      <c r="I42" s="1225">
        <f t="shared" si="3"/>
        <v>0</v>
      </c>
      <c r="J42" s="1278"/>
      <c r="K42" s="1278"/>
    </row>
    <row r="43" spans="1:11">
      <c r="A43" s="1224">
        <f t="shared" si="2"/>
        <v>29</v>
      </c>
      <c r="B43" s="1287" t="s">
        <v>811</v>
      </c>
      <c r="C43" s="1227">
        <v>931</v>
      </c>
      <c r="D43" s="1310"/>
      <c r="E43" s="1310"/>
      <c r="F43" s="1310"/>
      <c r="G43" s="1310"/>
      <c r="H43" s="1243"/>
      <c r="I43" s="1225">
        <f t="shared" si="3"/>
        <v>0</v>
      </c>
      <c r="J43" s="1278"/>
      <c r="K43" s="1278"/>
    </row>
    <row r="44" spans="1:11">
      <c r="A44" s="1224">
        <f t="shared" si="2"/>
        <v>30</v>
      </c>
      <c r="B44" s="1287" t="s">
        <v>812</v>
      </c>
      <c r="C44" s="1227">
        <v>933</v>
      </c>
      <c r="D44" s="1310"/>
      <c r="E44" s="1310"/>
      <c r="F44" s="1310"/>
      <c r="G44" s="1310"/>
      <c r="H44" s="1243"/>
      <c r="I44" s="1225">
        <f t="shared" si="3"/>
        <v>0</v>
      </c>
      <c r="J44" s="1278"/>
      <c r="K44" s="1278"/>
    </row>
    <row r="45" spans="1:11">
      <c r="A45" s="1224">
        <f t="shared" si="2"/>
        <v>31</v>
      </c>
      <c r="B45" s="1287" t="s">
        <v>813</v>
      </c>
      <c r="C45" s="1227">
        <v>935</v>
      </c>
      <c r="D45" s="1310"/>
      <c r="E45" s="1310"/>
      <c r="F45" s="1310"/>
      <c r="G45" s="1310"/>
      <c r="H45" s="1243"/>
      <c r="I45" s="1225">
        <f t="shared" si="3"/>
        <v>0</v>
      </c>
      <c r="J45" s="1278"/>
      <c r="K45" s="1278"/>
    </row>
    <row r="46" spans="1:11">
      <c r="A46" s="1224">
        <f t="shared" si="2"/>
        <v>32</v>
      </c>
      <c r="B46" s="1287" t="s">
        <v>21</v>
      </c>
      <c r="C46" s="1287"/>
      <c r="D46" s="1312">
        <f>SUM(D31:D45)</f>
        <v>0</v>
      </c>
      <c r="E46" s="1312">
        <f>SUM(E31:E45)</f>
        <v>105030</v>
      </c>
      <c r="F46" s="1312">
        <f>SUM(F31:F45)</f>
        <v>0</v>
      </c>
      <c r="G46" s="1313"/>
      <c r="H46" s="1312">
        <f>SUM(H31:H45)</f>
        <v>0</v>
      </c>
      <c r="I46" s="1312">
        <f>SUM(I31:I45)</f>
        <v>105030</v>
      </c>
      <c r="J46" s="1278"/>
      <c r="K46" s="1278"/>
    </row>
    <row r="47" spans="1:11">
      <c r="A47" s="1224"/>
      <c r="B47" s="1287"/>
      <c r="C47" s="1287"/>
      <c r="D47" s="1287"/>
      <c r="E47" s="1287"/>
      <c r="F47" s="1287"/>
      <c r="G47" s="1287"/>
      <c r="H47" s="1278"/>
      <c r="I47" s="1312"/>
      <c r="J47" s="1278"/>
      <c r="K47" s="1278"/>
    </row>
    <row r="48" spans="1:11">
      <c r="A48" s="1224"/>
      <c r="B48" s="1642" t="s">
        <v>798</v>
      </c>
      <c r="C48" s="1642"/>
      <c r="D48" s="1642"/>
      <c r="E48" s="1642"/>
      <c r="F48" s="1287"/>
      <c r="G48" s="1287"/>
      <c r="H48" s="1278"/>
      <c r="I48" s="1312"/>
      <c r="J48" s="1278"/>
      <c r="K48" s="1278"/>
    </row>
    <row r="49" spans="1:11">
      <c r="A49" s="1224"/>
      <c r="B49" s="1287"/>
      <c r="C49" s="1287"/>
      <c r="D49" s="1287"/>
      <c r="E49" s="1287"/>
      <c r="F49" s="1287"/>
      <c r="G49" s="1287"/>
      <c r="H49" s="1278"/>
      <c r="I49" s="1312"/>
      <c r="J49" s="1278"/>
      <c r="K49" s="1278"/>
    </row>
    <row r="50" spans="1:11">
      <c r="A50" s="1224"/>
      <c r="B50" s="1287"/>
      <c r="C50" s="1287"/>
      <c r="D50" s="1287"/>
      <c r="E50" s="1287"/>
      <c r="F50" s="1287"/>
      <c r="G50" s="1287"/>
      <c r="H50" s="1278"/>
      <c r="I50" s="1312"/>
      <c r="J50" s="1278"/>
      <c r="K50" s="1278"/>
    </row>
    <row r="51" spans="1:11">
      <c r="A51" s="1274"/>
      <c r="B51" s="1287"/>
      <c r="C51" s="1287"/>
      <c r="D51" s="1287"/>
      <c r="E51" s="1287"/>
      <c r="F51" s="1287"/>
      <c r="G51" s="1287"/>
      <c r="H51" s="1278"/>
      <c r="I51" s="1312"/>
      <c r="J51" s="1278"/>
      <c r="K51" s="1278"/>
    </row>
    <row r="52" spans="1:11">
      <c r="A52" s="1274"/>
      <c r="F52" s="1274"/>
      <c r="G52" s="1274"/>
      <c r="H52" s="1278"/>
      <c r="I52" s="1312"/>
      <c r="J52" s="1278"/>
      <c r="K52" s="1278"/>
    </row>
    <row r="53" spans="1:11">
      <c r="A53" s="1278"/>
      <c r="B53" s="1294"/>
      <c r="C53" s="1293"/>
      <c r="D53" s="1293"/>
      <c r="E53" s="1293"/>
      <c r="F53" s="1278"/>
      <c r="G53" s="1278"/>
      <c r="H53" s="1278"/>
      <c r="I53" s="1312"/>
      <c r="J53" s="1278"/>
      <c r="K53" s="1278"/>
    </row>
    <row r="54" spans="1:11">
      <c r="A54" s="1278"/>
      <c r="B54" s="1294"/>
      <c r="C54" s="1293"/>
      <c r="D54" s="1293"/>
      <c r="E54" s="1293"/>
      <c r="F54" s="1278"/>
      <c r="G54" s="1278"/>
      <c r="H54" s="1278"/>
      <c r="I54" s="1312"/>
      <c r="J54" s="1278"/>
      <c r="K54" s="1278"/>
    </row>
    <row r="55" spans="1:11">
      <c r="A55" s="1278"/>
      <c r="B55" s="1293"/>
      <c r="C55" s="1293"/>
      <c r="D55" s="1293"/>
      <c r="E55" s="1293"/>
      <c r="F55" s="1278"/>
      <c r="G55" s="1278"/>
      <c r="H55" s="1278"/>
      <c r="I55" s="1312"/>
      <c r="J55" s="1278"/>
      <c r="K55" s="1278"/>
    </row>
    <row r="56" spans="1:11">
      <c r="A56" s="1278"/>
      <c r="B56" s="1278"/>
      <c r="C56" s="1278"/>
      <c r="D56" s="1278"/>
      <c r="E56" s="1278"/>
      <c r="F56" s="1278"/>
      <c r="G56" s="1278"/>
      <c r="H56" s="1278"/>
      <c r="I56" s="1312"/>
      <c r="J56" s="1278"/>
      <c r="K56" s="1278"/>
    </row>
    <row r="57" spans="1:11">
      <c r="A57" s="1278"/>
      <c r="B57" s="1278"/>
      <c r="C57" s="1278"/>
      <c r="D57" s="1278"/>
      <c r="E57" s="1278"/>
      <c r="F57" s="1278"/>
      <c r="G57" s="1278"/>
      <c r="H57" s="1278"/>
      <c r="I57" s="1312"/>
      <c r="J57" s="1278"/>
      <c r="K57" s="1278"/>
    </row>
    <row r="58" spans="1:11">
      <c r="A58" s="1278"/>
      <c r="B58" s="1278"/>
      <c r="C58" s="1278"/>
      <c r="D58" s="1278"/>
      <c r="E58" s="1278"/>
      <c r="F58" s="1278"/>
      <c r="G58" s="1278"/>
      <c r="H58" s="1278"/>
      <c r="I58" s="1312"/>
      <c r="J58" s="1278"/>
      <c r="K58" s="1278"/>
    </row>
    <row r="59" spans="1:11">
      <c r="A59" s="1278"/>
      <c r="B59" s="1278"/>
      <c r="C59" s="1278"/>
      <c r="D59" s="1278"/>
      <c r="E59" s="1278"/>
      <c r="F59" s="1278"/>
      <c r="G59" s="1278"/>
      <c r="H59" s="1278"/>
      <c r="I59" s="1312"/>
      <c r="J59" s="1278"/>
      <c r="K59" s="1278"/>
    </row>
    <row r="60" spans="1:11">
      <c r="A60" s="1278"/>
      <c r="B60" s="1278"/>
      <c r="C60" s="1278"/>
      <c r="D60" s="1278"/>
      <c r="E60" s="1278"/>
      <c r="F60" s="1278"/>
      <c r="G60" s="1278"/>
      <c r="H60" s="1278"/>
      <c r="I60" s="1312"/>
      <c r="J60" s="1278"/>
      <c r="K60" s="1278"/>
    </row>
    <row r="61" spans="1:11">
      <c r="A61" s="1278"/>
      <c r="B61" s="1278"/>
      <c r="C61" s="1278"/>
      <c r="D61" s="1278"/>
      <c r="E61" s="1278"/>
      <c r="F61" s="1278"/>
      <c r="G61" s="1278"/>
      <c r="H61" s="1278"/>
      <c r="I61" s="1312"/>
      <c r="J61" s="1278"/>
      <c r="K61" s="1278"/>
    </row>
  </sheetData>
  <mergeCells count="3">
    <mergeCell ref="A1:G1"/>
    <mergeCell ref="A2:G2"/>
    <mergeCell ref="B48:E48"/>
  </mergeCells>
  <pageMargins left="0.7" right="0.7" top="0.75" bottom="0.75" header="0.3" footer="0.3"/>
  <pageSetup paperSize="5"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O86"/>
  <sheetViews>
    <sheetView workbookViewId="0">
      <selection activeCell="Q19" sqref="Q19"/>
    </sheetView>
  </sheetViews>
  <sheetFormatPr defaultColWidth="8.77734375" defaultRowHeight="16.5"/>
  <cols>
    <col min="1" max="1" width="4.21875" style="1325" customWidth="1"/>
    <col min="2" max="2" width="16" style="1324" customWidth="1"/>
    <col min="3" max="3" width="9.21875" style="1324" bestFit="1" customWidth="1"/>
    <col min="4" max="4" width="12.77734375" style="1324" customWidth="1"/>
    <col min="5" max="5" width="10.21875" style="1324" customWidth="1"/>
    <col min="6" max="6" width="8.21875" style="1324" customWidth="1"/>
    <col min="7" max="7" width="10.21875" style="1324" customWidth="1"/>
    <col min="8" max="10" width="8.77734375" style="1324"/>
    <col min="11" max="11" width="9.44140625" style="1324" customWidth="1"/>
    <col min="12" max="14" width="8.77734375" style="1324"/>
    <col min="15" max="16384" width="8.77734375" style="1270"/>
  </cols>
  <sheetData>
    <row r="1" spans="1:15">
      <c r="A1" s="1643" t="s">
        <v>1030</v>
      </c>
      <c r="B1" s="1643"/>
      <c r="C1" s="1643"/>
      <c r="D1" s="1643"/>
      <c r="E1" s="1643"/>
      <c r="F1" s="1643"/>
      <c r="G1" s="1643"/>
      <c r="H1" s="1643"/>
      <c r="I1" s="1643"/>
      <c r="J1" s="1643"/>
      <c r="K1" s="1643"/>
      <c r="L1" s="1643"/>
      <c r="M1" s="1643"/>
    </row>
    <row r="2" spans="1:15">
      <c r="A2" s="1643" t="s">
        <v>960</v>
      </c>
      <c r="B2" s="1643"/>
      <c r="C2" s="1643"/>
      <c r="D2" s="1643"/>
      <c r="E2" s="1643"/>
      <c r="F2" s="1643"/>
      <c r="G2" s="1643"/>
      <c r="H2" s="1643"/>
      <c r="I2" s="1643"/>
      <c r="J2" s="1643"/>
      <c r="K2" s="1643"/>
      <c r="L2" s="1643"/>
      <c r="M2" s="1643"/>
    </row>
    <row r="5" spans="1:15">
      <c r="F5" s="1326"/>
      <c r="G5" s="1500" t="s">
        <v>1080</v>
      </c>
      <c r="H5" s="1327"/>
      <c r="O5" s="1278"/>
    </row>
    <row r="6" spans="1:15">
      <c r="B6" s="1328"/>
      <c r="C6" s="1328"/>
      <c r="D6" s="1329"/>
      <c r="E6" s="1329"/>
      <c r="F6" s="1329"/>
      <c r="G6" s="1485">
        <v>44560</v>
      </c>
      <c r="H6" s="1330"/>
      <c r="I6" s="1329"/>
      <c r="J6" s="1329"/>
      <c r="K6" s="1329"/>
      <c r="L6" s="1329"/>
      <c r="M6" s="1329"/>
      <c r="O6" s="1278"/>
    </row>
    <row r="7" spans="1:15">
      <c r="A7" s="1644" t="s">
        <v>831</v>
      </c>
      <c r="B7" s="1644"/>
      <c r="C7" s="1644"/>
      <c r="D7" s="1331"/>
      <c r="E7" s="1331"/>
      <c r="F7" s="1331"/>
      <c r="G7" s="1331"/>
      <c r="H7" s="1331"/>
      <c r="I7" s="1331"/>
      <c r="J7" s="1331"/>
      <c r="K7" s="1331"/>
      <c r="L7" s="1331"/>
      <c r="M7" s="1331"/>
      <c r="N7" s="1332"/>
      <c r="O7" s="1278"/>
    </row>
    <row r="8" spans="1:15">
      <c r="A8" s="1325" t="s">
        <v>661</v>
      </c>
      <c r="B8" s="1328"/>
      <c r="C8" s="1328"/>
      <c r="D8" s="1333" t="s">
        <v>929</v>
      </c>
      <c r="E8" s="1333" t="s">
        <v>600</v>
      </c>
      <c r="F8" s="1333" t="s">
        <v>600</v>
      </c>
      <c r="G8" s="1334" t="s">
        <v>21</v>
      </c>
      <c r="H8" s="1335"/>
      <c r="I8" s="1335"/>
      <c r="J8" s="1335"/>
      <c r="K8" s="1335"/>
      <c r="L8" s="1335"/>
      <c r="M8" s="1335"/>
      <c r="N8" s="1336"/>
      <c r="O8" s="1278"/>
    </row>
    <row r="9" spans="1:15">
      <c r="B9" s="1299" t="s">
        <v>816</v>
      </c>
      <c r="C9" s="1299"/>
      <c r="D9" s="1299"/>
      <c r="E9" s="1299"/>
      <c r="F9" s="1299"/>
      <c r="G9" s="1335"/>
      <c r="H9" s="1335"/>
      <c r="I9" s="1335"/>
      <c r="J9" s="1335"/>
      <c r="K9" s="1335"/>
      <c r="L9" s="1335"/>
      <c r="M9" s="1335"/>
      <c r="N9" s="1336"/>
      <c r="O9" s="1278"/>
    </row>
    <row r="10" spans="1:15">
      <c r="A10" s="1325">
        <v>1</v>
      </c>
      <c r="B10" s="1337" t="s">
        <v>926</v>
      </c>
      <c r="C10" s="1337"/>
      <c r="D10" s="1337"/>
      <c r="E10" s="1337"/>
      <c r="F10" s="1337"/>
      <c r="G10" s="1076">
        <f>+D10+E10+F10</f>
        <v>0</v>
      </c>
      <c r="H10" s="1335"/>
      <c r="I10" s="1335"/>
      <c r="J10" s="1335"/>
      <c r="K10" s="1335"/>
      <c r="L10" s="1335"/>
      <c r="M10" s="1335"/>
      <c r="N10" s="1336"/>
      <c r="O10" s="1278"/>
    </row>
    <row r="11" spans="1:15">
      <c r="A11" s="1325" t="s">
        <v>313</v>
      </c>
      <c r="B11" s="1337" t="s">
        <v>927</v>
      </c>
      <c r="C11" s="1338"/>
      <c r="D11" s="1339"/>
      <c r="E11" s="1339"/>
      <c r="F11" s="1339"/>
      <c r="G11" s="1076">
        <f t="shared" ref="G11:G25" si="0">+D11+E11+F11</f>
        <v>0</v>
      </c>
      <c r="H11" s="1331"/>
      <c r="I11" s="1331"/>
      <c r="J11" s="1331"/>
      <c r="K11" s="1331"/>
      <c r="L11" s="1331"/>
      <c r="M11" s="1335"/>
      <c r="N11" s="1340"/>
      <c r="O11" s="1278"/>
    </row>
    <row r="12" spans="1:15">
      <c r="A12" s="1325" t="s">
        <v>881</v>
      </c>
      <c r="B12" s="1337" t="s">
        <v>928</v>
      </c>
      <c r="C12" s="1341"/>
      <c r="D12" s="1342"/>
      <c r="E12" s="1342"/>
      <c r="F12" s="1342"/>
      <c r="G12" s="1076">
        <f t="shared" si="0"/>
        <v>0</v>
      </c>
      <c r="H12" s="1343"/>
      <c r="I12" s="1343"/>
      <c r="J12" s="1343"/>
      <c r="K12" s="1343"/>
      <c r="L12" s="1343"/>
      <c r="M12" s="1335"/>
      <c r="N12" s="1340"/>
      <c r="O12" s="1278"/>
    </row>
    <row r="13" spans="1:15">
      <c r="A13" s="1325" t="s">
        <v>882</v>
      </c>
      <c r="B13" s="1337" t="s">
        <v>930</v>
      </c>
      <c r="C13" s="1341"/>
      <c r="D13" s="1337"/>
      <c r="E13" s="1337"/>
      <c r="F13" s="1337"/>
      <c r="G13" s="1076">
        <f t="shared" si="0"/>
        <v>0</v>
      </c>
      <c r="H13" s="1335"/>
      <c r="I13" s="1335"/>
      <c r="J13" s="1335"/>
      <c r="K13" s="1335"/>
      <c r="L13" s="1335"/>
      <c r="M13" s="1335"/>
      <c r="N13" s="1340"/>
      <c r="O13" s="1278"/>
    </row>
    <row r="14" spans="1:15">
      <c r="A14" s="1325" t="s">
        <v>382</v>
      </c>
      <c r="B14" s="1337" t="s">
        <v>931</v>
      </c>
      <c r="C14" s="1341"/>
      <c r="D14" s="1337"/>
      <c r="E14" s="1337"/>
      <c r="F14" s="1337"/>
      <c r="G14" s="1076">
        <f t="shared" si="0"/>
        <v>0</v>
      </c>
      <c r="H14" s="1335"/>
      <c r="I14" s="1335"/>
      <c r="J14" s="1335"/>
      <c r="K14" s="1335"/>
      <c r="L14" s="1335"/>
      <c r="M14" s="1335"/>
      <c r="N14" s="1340"/>
      <c r="O14" s="1278"/>
    </row>
    <row r="15" spans="1:15">
      <c r="A15" s="1325" t="s">
        <v>382</v>
      </c>
      <c r="B15" s="1337"/>
      <c r="C15" s="1341"/>
      <c r="D15" s="1337"/>
      <c r="E15" s="1337"/>
      <c r="F15" s="1337"/>
      <c r="G15" s="1076">
        <f t="shared" si="0"/>
        <v>0</v>
      </c>
      <c r="H15" s="1335"/>
      <c r="I15" s="1335"/>
      <c r="J15" s="1335"/>
      <c r="K15" s="1335"/>
      <c r="L15" s="1335"/>
      <c r="M15" s="1335"/>
      <c r="N15" s="1340"/>
      <c r="O15" s="1278"/>
    </row>
    <row r="16" spans="1:15">
      <c r="A16" s="1325" t="s">
        <v>382</v>
      </c>
      <c r="B16" s="1337"/>
      <c r="C16" s="1341"/>
      <c r="D16" s="1337"/>
      <c r="E16" s="1337"/>
      <c r="F16" s="1337"/>
      <c r="G16" s="1076">
        <f t="shared" si="0"/>
        <v>0</v>
      </c>
      <c r="H16" s="1335"/>
      <c r="I16" s="1335"/>
      <c r="J16" s="1335"/>
      <c r="K16" s="1335"/>
      <c r="L16" s="1335"/>
      <c r="M16" s="1335"/>
      <c r="N16" s="1340"/>
      <c r="O16" s="1278"/>
    </row>
    <row r="17" spans="1:15">
      <c r="A17" s="1325" t="s">
        <v>382</v>
      </c>
      <c r="B17" s="1337"/>
      <c r="C17" s="1341"/>
      <c r="D17" s="1337"/>
      <c r="E17" s="1337"/>
      <c r="F17" s="1337"/>
      <c r="G17" s="1076">
        <f t="shared" si="0"/>
        <v>0</v>
      </c>
      <c r="H17" s="1335"/>
      <c r="I17" s="1335"/>
      <c r="J17" s="1335"/>
      <c r="K17" s="1335"/>
      <c r="L17" s="1335"/>
      <c r="M17" s="1335"/>
      <c r="N17" s="1340"/>
      <c r="O17" s="1278"/>
    </row>
    <row r="18" spans="1:15">
      <c r="A18" s="1325" t="s">
        <v>382</v>
      </c>
      <c r="B18" s="1337"/>
      <c r="C18" s="1341"/>
      <c r="D18" s="1337"/>
      <c r="E18" s="1337"/>
      <c r="F18" s="1337"/>
      <c r="G18" s="1076">
        <f t="shared" si="0"/>
        <v>0</v>
      </c>
      <c r="H18" s="1335"/>
      <c r="I18" s="1335"/>
      <c r="J18" s="1335"/>
      <c r="K18" s="1335"/>
      <c r="L18" s="1335"/>
      <c r="M18" s="1335"/>
      <c r="N18" s="1340"/>
      <c r="O18" s="1278"/>
    </row>
    <row r="19" spans="1:15">
      <c r="A19" s="1325" t="s">
        <v>382</v>
      </c>
      <c r="B19" s="1337"/>
      <c r="C19" s="1341"/>
      <c r="D19" s="1337"/>
      <c r="E19" s="1337"/>
      <c r="F19" s="1337"/>
      <c r="G19" s="1076">
        <f t="shared" si="0"/>
        <v>0</v>
      </c>
      <c r="H19" s="1335"/>
      <c r="I19" s="1335"/>
      <c r="J19" s="1335"/>
      <c r="K19" s="1335"/>
      <c r="L19" s="1335"/>
      <c r="M19" s="1335"/>
      <c r="N19" s="1340"/>
      <c r="O19" s="1278"/>
    </row>
    <row r="20" spans="1:15">
      <c r="A20" s="1325" t="s">
        <v>382</v>
      </c>
      <c r="B20" s="1337"/>
      <c r="C20" s="1341"/>
      <c r="D20" s="1337"/>
      <c r="E20" s="1337"/>
      <c r="F20" s="1337"/>
      <c r="G20" s="1076">
        <f t="shared" si="0"/>
        <v>0</v>
      </c>
      <c r="H20" s="1335"/>
      <c r="I20" s="1335"/>
      <c r="J20" s="1335"/>
      <c r="K20" s="1335"/>
      <c r="L20" s="1335"/>
      <c r="M20" s="1335"/>
      <c r="N20" s="1340"/>
      <c r="O20" s="1278"/>
    </row>
    <row r="21" spans="1:15">
      <c r="A21" s="1325" t="s">
        <v>382</v>
      </c>
      <c r="B21" s="1337"/>
      <c r="C21" s="1341"/>
      <c r="D21" s="1337"/>
      <c r="E21" s="1337"/>
      <c r="F21" s="1337"/>
      <c r="G21" s="1076">
        <f t="shared" si="0"/>
        <v>0</v>
      </c>
      <c r="H21" s="1335"/>
      <c r="I21" s="1335"/>
      <c r="J21" s="1335"/>
      <c r="K21" s="1335"/>
      <c r="L21" s="1335"/>
      <c r="M21" s="1335"/>
      <c r="N21" s="1340"/>
      <c r="O21" s="1278"/>
    </row>
    <row r="22" spans="1:15">
      <c r="A22" s="1325" t="s">
        <v>382</v>
      </c>
      <c r="B22" s="1337"/>
      <c r="C22" s="1341"/>
      <c r="D22" s="1337"/>
      <c r="E22" s="1337"/>
      <c r="F22" s="1337"/>
      <c r="G22" s="1076">
        <f t="shared" si="0"/>
        <v>0</v>
      </c>
      <c r="H22" s="1335"/>
      <c r="I22" s="1335"/>
      <c r="J22" s="1335"/>
      <c r="K22" s="1335"/>
      <c r="L22" s="1335"/>
      <c r="M22" s="1335"/>
      <c r="N22" s="1340"/>
      <c r="O22" s="1278"/>
    </row>
    <row r="23" spans="1:15">
      <c r="A23" s="1325" t="s">
        <v>382</v>
      </c>
      <c r="B23" s="1337"/>
      <c r="C23" s="1341"/>
      <c r="D23" s="1337"/>
      <c r="E23" s="1337"/>
      <c r="F23" s="1337"/>
      <c r="G23" s="1076">
        <f t="shared" si="0"/>
        <v>0</v>
      </c>
      <c r="H23" s="1335"/>
      <c r="I23" s="1335"/>
      <c r="J23" s="1335"/>
      <c r="K23" s="1335"/>
      <c r="L23" s="1335"/>
      <c r="M23" s="1335"/>
      <c r="N23" s="1340"/>
      <c r="O23" s="1278"/>
    </row>
    <row r="24" spans="1:15">
      <c r="B24" s="1337"/>
      <c r="C24" s="1341"/>
      <c r="D24" s="1337"/>
      <c r="E24" s="1337"/>
      <c r="F24" s="1337"/>
      <c r="G24" s="1076">
        <f t="shared" si="0"/>
        <v>0</v>
      </c>
      <c r="H24" s="1335"/>
      <c r="I24" s="1335"/>
      <c r="J24" s="1335"/>
      <c r="K24" s="1335"/>
      <c r="L24" s="1335"/>
      <c r="M24" s="1335"/>
      <c r="N24" s="1340"/>
      <c r="O24" s="1278"/>
    </row>
    <row r="25" spans="1:15">
      <c r="A25" s="1325" t="s">
        <v>316</v>
      </c>
      <c r="B25" s="1337"/>
      <c r="C25" s="1341"/>
      <c r="D25" s="1337"/>
      <c r="E25" s="1337"/>
      <c r="F25" s="1337"/>
      <c r="G25" s="1076">
        <f t="shared" si="0"/>
        <v>0</v>
      </c>
      <c r="H25" s="1335"/>
      <c r="I25" s="1335"/>
      <c r="J25" s="1335"/>
      <c r="K25" s="1335"/>
      <c r="L25" s="1335"/>
      <c r="M25" s="1335"/>
      <c r="N25" s="1340"/>
      <c r="O25" s="1278"/>
    </row>
    <row r="26" spans="1:15">
      <c r="A26" s="1325">
        <v>2</v>
      </c>
      <c r="B26" s="1344" t="s">
        <v>958</v>
      </c>
      <c r="C26" s="1345"/>
      <c r="D26" s="1076"/>
      <c r="E26" s="1076"/>
      <c r="F26" s="1076"/>
      <c r="G26" s="1076">
        <f>SUM(G9:G25)</f>
        <v>0</v>
      </c>
      <c r="H26" s="1335"/>
      <c r="I26" s="1335"/>
      <c r="J26" s="1335"/>
      <c r="K26" s="1335"/>
      <c r="L26" s="1335"/>
      <c r="M26" s="1335"/>
      <c r="N26" s="1340"/>
      <c r="O26" s="1278"/>
    </row>
    <row r="27" spans="1:15">
      <c r="B27" s="1328"/>
      <c r="C27" s="1346"/>
      <c r="D27" s="1335"/>
      <c r="E27" s="1335"/>
      <c r="F27" s="1335"/>
      <c r="G27" s="1335"/>
      <c r="H27" s="1335"/>
      <c r="I27" s="1335"/>
      <c r="J27" s="1335"/>
      <c r="K27" s="1335"/>
      <c r="L27" s="1335"/>
      <c r="M27" s="1335"/>
      <c r="N27" s="1340"/>
      <c r="O27" s="1278"/>
    </row>
    <row r="28" spans="1:15">
      <c r="B28" s="1328"/>
      <c r="C28" s="1346"/>
      <c r="D28" s="1335"/>
      <c r="E28" s="1335"/>
      <c r="F28" s="1335"/>
      <c r="G28" s="1335"/>
      <c r="H28" s="1335"/>
      <c r="I28" s="1335"/>
      <c r="J28" s="1335"/>
      <c r="K28" s="1335"/>
      <c r="L28" s="1335"/>
      <c r="M28" s="1335"/>
      <c r="N28" s="1340"/>
      <c r="O28" s="1278"/>
    </row>
    <row r="29" spans="1:15">
      <c r="B29" s="1328" t="s">
        <v>815</v>
      </c>
      <c r="C29" s="1328"/>
      <c r="D29" s="1328"/>
      <c r="E29" s="1328"/>
      <c r="F29" s="1328"/>
      <c r="G29" s="1328"/>
      <c r="H29" s="1328"/>
      <c r="I29" s="1328"/>
      <c r="J29" s="1328"/>
      <c r="K29" s="1328"/>
      <c r="L29" s="1328"/>
      <c r="M29" s="1328"/>
      <c r="O29" s="1278"/>
    </row>
    <row r="30" spans="1:15">
      <c r="B30" s="1328"/>
      <c r="C30" s="1328"/>
      <c r="D30" s="1328"/>
      <c r="E30" s="1328"/>
      <c r="F30" s="1328"/>
      <c r="G30" s="1328"/>
      <c r="H30" s="1328"/>
      <c r="I30" s="1328"/>
      <c r="J30" s="1328"/>
      <c r="K30" s="1328"/>
      <c r="L30" s="1328"/>
      <c r="M30" s="1328"/>
      <c r="O30" s="1278"/>
    </row>
    <row r="31" spans="1:15">
      <c r="B31" s="1328"/>
      <c r="C31" s="1328"/>
      <c r="D31" s="1328"/>
      <c r="E31" s="1328"/>
      <c r="F31" s="1328"/>
      <c r="G31" s="1328"/>
      <c r="H31" s="1328"/>
      <c r="I31" s="1328"/>
      <c r="J31" s="1328"/>
      <c r="K31" s="1328"/>
      <c r="L31" s="1328"/>
      <c r="M31" s="1328"/>
      <c r="O31" s="1278"/>
    </row>
    <row r="32" spans="1:15">
      <c r="A32" s="1645" t="s">
        <v>667</v>
      </c>
      <c r="B32" s="1645"/>
      <c r="C32" s="1645"/>
      <c r="D32" s="1328"/>
      <c r="E32" s="1328"/>
      <c r="F32" s="1328"/>
      <c r="G32" s="1328"/>
      <c r="H32" s="1328"/>
      <c r="I32" s="1328"/>
      <c r="J32" s="1328"/>
      <c r="K32" s="1328"/>
      <c r="L32" s="1328"/>
      <c r="M32" s="1328"/>
      <c r="O32" s="1278"/>
    </row>
    <row r="33" spans="1:15">
      <c r="B33" s="1328"/>
      <c r="C33" s="1328"/>
      <c r="D33" s="1328"/>
      <c r="E33" s="1328"/>
      <c r="F33" s="1328"/>
      <c r="G33" s="1328"/>
      <c r="H33" s="1328"/>
      <c r="I33" s="1328"/>
      <c r="J33" s="1328"/>
      <c r="K33" s="1328"/>
      <c r="L33" s="1328"/>
      <c r="M33" s="1328"/>
      <c r="O33" s="1278"/>
    </row>
    <row r="34" spans="1:15">
      <c r="B34" s="1328"/>
      <c r="C34" s="1328"/>
      <c r="D34" s="1328"/>
      <c r="E34" s="1328"/>
      <c r="F34" s="1328"/>
      <c r="G34" s="1328"/>
      <c r="H34" s="1328"/>
      <c r="I34" s="1328"/>
      <c r="J34" s="1328"/>
      <c r="K34" s="1328"/>
      <c r="L34" s="1328"/>
      <c r="M34" s="1328"/>
      <c r="O34" s="1278"/>
    </row>
    <row r="35" spans="1:15">
      <c r="B35" s="1328" t="s">
        <v>600</v>
      </c>
      <c r="C35" s="1347">
        <v>350</v>
      </c>
      <c r="D35" s="1347">
        <v>352</v>
      </c>
      <c r="E35" s="1347">
        <v>352</v>
      </c>
      <c r="F35" s="1347">
        <v>353</v>
      </c>
      <c r="G35" s="1347">
        <v>354</v>
      </c>
      <c r="H35" s="1347">
        <v>355</v>
      </c>
      <c r="I35" s="1347">
        <v>356</v>
      </c>
      <c r="J35" s="1347">
        <v>357</v>
      </c>
      <c r="K35" s="1347">
        <v>358</v>
      </c>
      <c r="L35" s="1347">
        <v>359</v>
      </c>
      <c r="M35" s="1348"/>
      <c r="O35" s="1278"/>
    </row>
    <row r="36" spans="1:15" ht="49.5">
      <c r="B36" s="1328"/>
      <c r="C36" s="1349" t="s">
        <v>668</v>
      </c>
      <c r="D36" s="1349" t="s">
        <v>669</v>
      </c>
      <c r="E36" s="1349" t="s">
        <v>670</v>
      </c>
      <c r="F36" s="1349" t="s">
        <v>671</v>
      </c>
      <c r="G36" s="1349" t="s">
        <v>672</v>
      </c>
      <c r="H36" s="1349" t="s">
        <v>673</v>
      </c>
      <c r="I36" s="1349" t="s">
        <v>674</v>
      </c>
      <c r="J36" s="1349" t="s">
        <v>675</v>
      </c>
      <c r="K36" s="1349" t="s">
        <v>676</v>
      </c>
      <c r="L36" s="1349" t="s">
        <v>677</v>
      </c>
      <c r="M36" s="1349" t="s">
        <v>21</v>
      </c>
      <c r="O36" s="1278"/>
    </row>
    <row r="37" spans="1:15">
      <c r="A37" s="1325">
        <v>3</v>
      </c>
      <c r="B37" s="1328" t="s">
        <v>929</v>
      </c>
      <c r="C37" s="1342"/>
      <c r="D37" s="1342"/>
      <c r="E37" s="1342"/>
      <c r="F37" s="1342"/>
      <c r="G37" s="1342"/>
      <c r="H37" s="1342"/>
      <c r="I37" s="1342"/>
      <c r="J37" s="1342"/>
      <c r="K37" s="1342"/>
      <c r="L37" s="1342"/>
      <c r="M37" s="1340">
        <f t="shared" ref="M37:M53" si="1">SUM(C37:L37)</f>
        <v>0</v>
      </c>
      <c r="O37" s="1278"/>
    </row>
    <row r="38" spans="1:15">
      <c r="A38" s="1325" t="s">
        <v>883</v>
      </c>
      <c r="B38" s="1328" t="s">
        <v>666</v>
      </c>
      <c r="C38" s="1337"/>
      <c r="D38" s="1337"/>
      <c r="E38" s="1337"/>
      <c r="F38" s="1337"/>
      <c r="G38" s="1337"/>
      <c r="H38" s="1337"/>
      <c r="I38" s="1337"/>
      <c r="J38" s="1337"/>
      <c r="K38" s="1337"/>
      <c r="L38" s="1337"/>
      <c r="M38" s="1340">
        <f t="shared" si="1"/>
        <v>0</v>
      </c>
      <c r="O38" s="1278"/>
    </row>
    <row r="39" spans="1:15">
      <c r="A39" s="1325" t="s">
        <v>884</v>
      </c>
      <c r="B39" s="1328"/>
      <c r="C39" s="1337"/>
      <c r="D39" s="1337"/>
      <c r="E39" s="1337"/>
      <c r="F39" s="1337"/>
      <c r="G39" s="1337"/>
      <c r="H39" s="1337"/>
      <c r="I39" s="1337"/>
      <c r="J39" s="1337"/>
      <c r="K39" s="1337"/>
      <c r="L39" s="1337"/>
      <c r="M39" s="1340">
        <f t="shared" si="1"/>
        <v>0</v>
      </c>
      <c r="O39" s="1278"/>
    </row>
    <row r="40" spans="1:15">
      <c r="A40" s="1325" t="s">
        <v>885</v>
      </c>
      <c r="B40" s="1328"/>
      <c r="C40" s="1337"/>
      <c r="D40" s="1337"/>
      <c r="E40" s="1337"/>
      <c r="F40" s="1337"/>
      <c r="G40" s="1337"/>
      <c r="H40" s="1337"/>
      <c r="I40" s="1337"/>
      <c r="J40" s="1337"/>
      <c r="K40" s="1337"/>
      <c r="L40" s="1337"/>
      <c r="M40" s="1340">
        <f t="shared" si="1"/>
        <v>0</v>
      </c>
      <c r="O40" s="1278"/>
    </row>
    <row r="41" spans="1:15">
      <c r="A41" s="1325" t="s">
        <v>382</v>
      </c>
      <c r="B41" s="1328"/>
      <c r="C41" s="1337"/>
      <c r="D41" s="1337"/>
      <c r="E41" s="1337"/>
      <c r="F41" s="1337"/>
      <c r="G41" s="1337"/>
      <c r="H41" s="1337"/>
      <c r="I41" s="1337"/>
      <c r="J41" s="1337"/>
      <c r="K41" s="1337"/>
      <c r="L41" s="1337"/>
      <c r="M41" s="1340">
        <f t="shared" si="1"/>
        <v>0</v>
      </c>
      <c r="O41" s="1278"/>
    </row>
    <row r="42" spans="1:15">
      <c r="A42" s="1325" t="s">
        <v>382</v>
      </c>
      <c r="B42" s="1328"/>
      <c r="C42" s="1337"/>
      <c r="D42" s="1337"/>
      <c r="E42" s="1337"/>
      <c r="F42" s="1337"/>
      <c r="G42" s="1337"/>
      <c r="H42" s="1337"/>
      <c r="I42" s="1337"/>
      <c r="J42" s="1337"/>
      <c r="K42" s="1337"/>
      <c r="L42" s="1337"/>
      <c r="M42" s="1340">
        <f t="shared" si="1"/>
        <v>0</v>
      </c>
      <c r="O42" s="1278"/>
    </row>
    <row r="43" spans="1:15">
      <c r="A43" s="1325" t="s">
        <v>382</v>
      </c>
      <c r="B43" s="1328"/>
      <c r="C43" s="1337"/>
      <c r="D43" s="1337"/>
      <c r="E43" s="1337"/>
      <c r="F43" s="1337"/>
      <c r="G43" s="1337"/>
      <c r="H43" s="1337"/>
      <c r="I43" s="1337"/>
      <c r="J43" s="1337"/>
      <c r="K43" s="1337"/>
      <c r="L43" s="1337"/>
      <c r="M43" s="1340">
        <f t="shared" si="1"/>
        <v>0</v>
      </c>
      <c r="O43" s="1278"/>
    </row>
    <row r="44" spans="1:15">
      <c r="A44" s="1325" t="s">
        <v>382</v>
      </c>
      <c r="B44" s="1328"/>
      <c r="C44" s="1337"/>
      <c r="D44" s="1337"/>
      <c r="E44" s="1337"/>
      <c r="F44" s="1337"/>
      <c r="G44" s="1337"/>
      <c r="H44" s="1337"/>
      <c r="I44" s="1337"/>
      <c r="J44" s="1337"/>
      <c r="K44" s="1337"/>
      <c r="L44" s="1337"/>
      <c r="M44" s="1340">
        <f t="shared" si="1"/>
        <v>0</v>
      </c>
      <c r="O44" s="1278"/>
    </row>
    <row r="45" spans="1:15">
      <c r="A45" s="1325" t="s">
        <v>382</v>
      </c>
      <c r="B45" s="1328"/>
      <c r="C45" s="1337"/>
      <c r="D45" s="1337"/>
      <c r="E45" s="1337"/>
      <c r="F45" s="1337"/>
      <c r="G45" s="1337"/>
      <c r="H45" s="1337"/>
      <c r="I45" s="1337"/>
      <c r="J45" s="1337"/>
      <c r="K45" s="1337"/>
      <c r="L45" s="1337"/>
      <c r="M45" s="1340">
        <f t="shared" si="1"/>
        <v>0</v>
      </c>
      <c r="O45" s="1278"/>
    </row>
    <row r="46" spans="1:15">
      <c r="A46" s="1325" t="s">
        <v>382</v>
      </c>
      <c r="B46" s="1328"/>
      <c r="C46" s="1337"/>
      <c r="D46" s="1337"/>
      <c r="E46" s="1337"/>
      <c r="F46" s="1337"/>
      <c r="G46" s="1337"/>
      <c r="H46" s="1337"/>
      <c r="I46" s="1337"/>
      <c r="J46" s="1337"/>
      <c r="K46" s="1337"/>
      <c r="L46" s="1337"/>
      <c r="M46" s="1340">
        <f t="shared" si="1"/>
        <v>0</v>
      </c>
      <c r="O46" s="1278"/>
    </row>
    <row r="47" spans="1:15">
      <c r="A47" s="1325" t="s">
        <v>382</v>
      </c>
      <c r="B47" s="1328"/>
      <c r="C47" s="1337"/>
      <c r="D47" s="1337"/>
      <c r="E47" s="1337"/>
      <c r="F47" s="1337"/>
      <c r="G47" s="1337"/>
      <c r="H47" s="1337"/>
      <c r="I47" s="1337"/>
      <c r="J47" s="1337"/>
      <c r="K47" s="1337"/>
      <c r="L47" s="1337"/>
      <c r="M47" s="1340">
        <f t="shared" si="1"/>
        <v>0</v>
      </c>
      <c r="O47" s="1278"/>
    </row>
    <row r="48" spans="1:15">
      <c r="A48" s="1325" t="s">
        <v>382</v>
      </c>
      <c r="B48" s="1328"/>
      <c r="C48" s="1337"/>
      <c r="D48" s="1337"/>
      <c r="E48" s="1337"/>
      <c r="F48" s="1337"/>
      <c r="G48" s="1337"/>
      <c r="H48" s="1337"/>
      <c r="I48" s="1337"/>
      <c r="J48" s="1337"/>
      <c r="K48" s="1337"/>
      <c r="L48" s="1337"/>
      <c r="M48" s="1340">
        <f t="shared" si="1"/>
        <v>0</v>
      </c>
      <c r="O48" s="1278"/>
    </row>
    <row r="49" spans="1:15">
      <c r="A49" s="1325" t="s">
        <v>382</v>
      </c>
      <c r="B49" s="1328"/>
      <c r="C49" s="1337"/>
      <c r="D49" s="1337"/>
      <c r="E49" s="1337"/>
      <c r="F49" s="1337"/>
      <c r="G49" s="1337"/>
      <c r="H49" s="1337"/>
      <c r="I49" s="1337"/>
      <c r="J49" s="1337"/>
      <c r="K49" s="1337"/>
      <c r="L49" s="1337"/>
      <c r="M49" s="1340">
        <f t="shared" si="1"/>
        <v>0</v>
      </c>
      <c r="O49" s="1278"/>
    </row>
    <row r="50" spans="1:15">
      <c r="B50" s="1328"/>
      <c r="C50" s="1337"/>
      <c r="D50" s="1337"/>
      <c r="E50" s="1337"/>
      <c r="F50" s="1337"/>
      <c r="G50" s="1337"/>
      <c r="H50" s="1337"/>
      <c r="I50" s="1337"/>
      <c r="J50" s="1337"/>
      <c r="K50" s="1337"/>
      <c r="L50" s="1337"/>
      <c r="M50" s="1340">
        <f t="shared" si="1"/>
        <v>0</v>
      </c>
      <c r="O50" s="1278"/>
    </row>
    <row r="51" spans="1:15">
      <c r="B51" s="1328"/>
      <c r="C51" s="1337"/>
      <c r="D51" s="1337"/>
      <c r="E51" s="1337"/>
      <c r="F51" s="1337"/>
      <c r="G51" s="1337"/>
      <c r="H51" s="1337"/>
      <c r="I51" s="1337"/>
      <c r="J51" s="1337"/>
      <c r="K51" s="1337"/>
      <c r="L51" s="1337"/>
      <c r="M51" s="1340">
        <f t="shared" si="1"/>
        <v>0</v>
      </c>
      <c r="O51" s="1278"/>
    </row>
    <row r="52" spans="1:15">
      <c r="B52" s="1328"/>
      <c r="C52" s="1337"/>
      <c r="D52" s="1337"/>
      <c r="E52" s="1337"/>
      <c r="F52" s="1337"/>
      <c r="G52" s="1337"/>
      <c r="H52" s="1337"/>
      <c r="I52" s="1337"/>
      <c r="J52" s="1337"/>
      <c r="K52" s="1337"/>
      <c r="L52" s="1337"/>
      <c r="M52" s="1340">
        <f t="shared" si="1"/>
        <v>0</v>
      </c>
      <c r="O52" s="1278"/>
    </row>
    <row r="53" spans="1:15">
      <c r="A53" s="1325" t="s">
        <v>886</v>
      </c>
      <c r="B53" s="1328"/>
      <c r="C53" s="1337"/>
      <c r="D53" s="1337"/>
      <c r="E53" s="1337"/>
      <c r="F53" s="1337"/>
      <c r="G53" s="1337"/>
      <c r="H53" s="1337"/>
      <c r="I53" s="1337"/>
      <c r="J53" s="1337"/>
      <c r="K53" s="1337"/>
      <c r="L53" s="1337"/>
      <c r="M53" s="1340">
        <f t="shared" si="1"/>
        <v>0</v>
      </c>
      <c r="O53" s="1278"/>
    </row>
    <row r="54" spans="1:15">
      <c r="A54" s="1325">
        <v>4</v>
      </c>
      <c r="B54" s="1324" t="s">
        <v>959</v>
      </c>
      <c r="C54" s="1344"/>
      <c r="D54" s="1344"/>
      <c r="E54" s="1344"/>
      <c r="F54" s="1344"/>
      <c r="G54" s="1344"/>
      <c r="H54" s="1344"/>
      <c r="I54" s="1344"/>
      <c r="J54" s="1344"/>
      <c r="K54" s="1344"/>
      <c r="L54" s="1344"/>
      <c r="M54" s="1344">
        <f>SUM(M37:M53)</f>
        <v>0</v>
      </c>
      <c r="O54" s="1278"/>
    </row>
    <row r="55" spans="1:15">
      <c r="C55" s="1344"/>
      <c r="D55" s="1344"/>
      <c r="E55" s="1344"/>
      <c r="F55" s="1344"/>
      <c r="G55" s="1344"/>
      <c r="H55" s="1344"/>
      <c r="I55" s="1344"/>
      <c r="J55" s="1344"/>
      <c r="K55" s="1344"/>
      <c r="L55" s="1344"/>
      <c r="M55" s="1344"/>
      <c r="O55" s="1278"/>
    </row>
    <row r="56" spans="1:15">
      <c r="C56" s="1344"/>
      <c r="D56" s="1344"/>
      <c r="E56" s="1344"/>
      <c r="F56" s="1344"/>
      <c r="G56" s="1344"/>
      <c r="H56" s="1344"/>
      <c r="I56" s="1344"/>
      <c r="J56" s="1344"/>
      <c r="K56" s="1344"/>
      <c r="L56" s="1344"/>
      <c r="M56" s="1344"/>
      <c r="O56" s="1278"/>
    </row>
    <row r="57" spans="1:15">
      <c r="O57" s="1278"/>
    </row>
    <row r="58" spans="1:15">
      <c r="O58" s="1278"/>
    </row>
    <row r="59" spans="1:15">
      <c r="O59" s="1278"/>
    </row>
    <row r="60" spans="1:15">
      <c r="O60" s="1278"/>
    </row>
    <row r="61" spans="1:15">
      <c r="O61" s="1278"/>
    </row>
    <row r="62" spans="1:15">
      <c r="O62" s="1278"/>
    </row>
    <row r="63" spans="1:15">
      <c r="O63" s="1278"/>
    </row>
    <row r="64" spans="1:15">
      <c r="O64" s="1278"/>
    </row>
    <row r="65" spans="15:15">
      <c r="O65" s="1278"/>
    </row>
    <row r="66" spans="15:15">
      <c r="O66" s="1278"/>
    </row>
    <row r="67" spans="15:15">
      <c r="O67" s="1278"/>
    </row>
    <row r="68" spans="15:15">
      <c r="O68" s="1278"/>
    </row>
    <row r="69" spans="15:15">
      <c r="O69" s="1278"/>
    </row>
    <row r="70" spans="15:15">
      <c r="O70" s="1278"/>
    </row>
    <row r="71" spans="15:15">
      <c r="O71" s="1278"/>
    </row>
    <row r="72" spans="15:15">
      <c r="O72" s="1278"/>
    </row>
    <row r="73" spans="15:15">
      <c r="O73" s="1278"/>
    </row>
    <row r="74" spans="15:15">
      <c r="O74" s="1278"/>
    </row>
    <row r="75" spans="15:15">
      <c r="O75" s="1278"/>
    </row>
    <row r="76" spans="15:15">
      <c r="O76" s="1278"/>
    </row>
    <row r="77" spans="15:15">
      <c r="O77" s="1278"/>
    </row>
    <row r="78" spans="15:15">
      <c r="O78" s="1278"/>
    </row>
    <row r="79" spans="15:15">
      <c r="O79" s="1278"/>
    </row>
    <row r="80" spans="15:15">
      <c r="O80" s="1278"/>
    </row>
    <row r="81" spans="15:15">
      <c r="O81" s="1278"/>
    </row>
    <row r="82" spans="15:15">
      <c r="O82" s="1278"/>
    </row>
    <row r="83" spans="15:15">
      <c r="O83" s="1278"/>
    </row>
    <row r="84" spans="15:15">
      <c r="O84" s="1278"/>
    </row>
    <row r="85" spans="15:15">
      <c r="O85" s="1278"/>
    </row>
    <row r="86" spans="15:15">
      <c r="O86" s="1278"/>
    </row>
  </sheetData>
  <mergeCells count="4">
    <mergeCell ref="A1:M1"/>
    <mergeCell ref="A2:M2"/>
    <mergeCell ref="A7:C7"/>
    <mergeCell ref="A32:C32"/>
  </mergeCells>
  <pageMargins left="0.7" right="0.7" top="0.75" bottom="0.75" header="0.3" footer="0.3"/>
  <pageSetup paperSize="5"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18"/>
  <sheetViews>
    <sheetView workbookViewId="0">
      <selection activeCell="M16" sqref="M16"/>
    </sheetView>
  </sheetViews>
  <sheetFormatPr defaultColWidth="8.77734375" defaultRowHeight="12.75"/>
  <cols>
    <col min="1" max="1" width="6" style="1270" customWidth="1"/>
    <col min="2" max="2" width="32.109375" style="1270" customWidth="1"/>
    <col min="3" max="5" width="10.77734375" style="1270" bestFit="1" customWidth="1"/>
    <col min="6" max="6" width="12.21875" style="1270" customWidth="1"/>
    <col min="7" max="7" width="10.77734375" style="1270" bestFit="1" customWidth="1"/>
    <col min="8" max="16384" width="8.77734375" style="1270"/>
  </cols>
  <sheetData>
    <row r="1" spans="1:19" ht="15">
      <c r="B1" s="1640" t="s">
        <v>832</v>
      </c>
      <c r="C1" s="1641"/>
      <c r="D1" s="1641"/>
      <c r="E1" s="1641"/>
      <c r="F1" s="1641"/>
      <c r="G1" s="1641"/>
      <c r="H1" s="1641"/>
      <c r="I1" s="1064"/>
      <c r="J1" s="1064"/>
      <c r="K1" s="1064"/>
      <c r="L1" s="1064"/>
      <c r="M1" s="1064"/>
      <c r="N1" s="1064"/>
      <c r="O1" s="1064"/>
      <c r="P1" s="1064"/>
      <c r="Q1" s="1064"/>
      <c r="R1" s="1064"/>
      <c r="S1" s="1064"/>
    </row>
    <row r="2" spans="1:19" ht="15.75">
      <c r="B2" s="1641" t="s">
        <v>491</v>
      </c>
      <c r="C2" s="1641"/>
      <c r="D2" s="1641"/>
      <c r="E2" s="1641"/>
      <c r="F2" s="1641"/>
      <c r="G2" s="1641"/>
      <c r="H2" s="1641"/>
      <c r="I2" s="1064"/>
      <c r="J2" s="1064"/>
      <c r="K2" s="1064"/>
      <c r="L2" s="1064"/>
      <c r="M2" s="1064"/>
      <c r="N2" s="1064"/>
      <c r="O2" s="1064"/>
      <c r="P2" s="1064"/>
      <c r="Q2" s="1064"/>
      <c r="R2" s="1064"/>
      <c r="S2" s="1064"/>
    </row>
    <row r="3" spans="1:19">
      <c r="F3" s="1500" t="s">
        <v>1080</v>
      </c>
      <c r="G3" s="1276"/>
    </row>
    <row r="4" spans="1:19" ht="15">
      <c r="B4" s="1305"/>
      <c r="F4" s="1485">
        <v>44560</v>
      </c>
      <c r="G4" s="1292"/>
    </row>
    <row r="5" spans="1:19" ht="15.75" thickBot="1">
      <c r="B5" s="1277" t="s">
        <v>833</v>
      </c>
      <c r="C5" s="1646"/>
      <c r="D5" s="1646"/>
      <c r="E5" s="1646"/>
      <c r="F5" s="1646"/>
      <c r="G5" s="1646"/>
    </row>
    <row r="6" spans="1:19" ht="30">
      <c r="A6" s="1270" t="s">
        <v>661</v>
      </c>
      <c r="B6" s="1277" t="s">
        <v>678</v>
      </c>
      <c r="C6" s="1316" t="s">
        <v>1088</v>
      </c>
      <c r="D6" s="1316" t="s">
        <v>1089</v>
      </c>
      <c r="E6" s="1316" t="s">
        <v>1090</v>
      </c>
      <c r="F6" s="1316" t="s">
        <v>1106</v>
      </c>
      <c r="G6" s="1303"/>
    </row>
    <row r="7" spans="1:19" ht="30">
      <c r="B7" s="1277"/>
      <c r="C7" s="1304" t="s">
        <v>679</v>
      </c>
      <c r="D7" s="1304" t="s">
        <v>679</v>
      </c>
      <c r="E7" s="1304" t="s">
        <v>679</v>
      </c>
      <c r="F7" s="1304" t="s">
        <v>679</v>
      </c>
      <c r="G7" s="1303" t="s">
        <v>21</v>
      </c>
    </row>
    <row r="8" spans="1:19" ht="23.25">
      <c r="B8" s="1277"/>
      <c r="C8" s="1277"/>
      <c r="D8" s="1302"/>
      <c r="E8" s="1277"/>
      <c r="F8" s="1277"/>
      <c r="G8" s="1277"/>
    </row>
    <row r="9" spans="1:19" ht="23.25">
      <c r="B9" s="1300"/>
      <c r="C9" s="1300"/>
      <c r="D9" s="1301"/>
      <c r="E9" s="1300"/>
      <c r="F9" s="1300"/>
      <c r="G9" s="1300"/>
    </row>
    <row r="10" spans="1:19" ht="16.5">
      <c r="A10" s="1270">
        <v>1</v>
      </c>
      <c r="B10" s="1299" t="s">
        <v>1096</v>
      </c>
      <c r="C10" s="1298">
        <v>1018.29</v>
      </c>
      <c r="D10" s="1298">
        <v>6744.61</v>
      </c>
      <c r="E10" s="1298"/>
      <c r="F10" s="1298"/>
      <c r="G10" s="1297">
        <f>SUM(C10:F10)</f>
        <v>7762.9</v>
      </c>
    </row>
    <row r="11" spans="1:19" ht="16.5">
      <c r="A11" s="1270">
        <v>2</v>
      </c>
      <c r="B11" s="1299" t="s">
        <v>1087</v>
      </c>
      <c r="C11" s="1298">
        <v>8222.25</v>
      </c>
      <c r="D11" s="1512"/>
      <c r="E11" s="1298">
        <v>46661.259999999995</v>
      </c>
      <c r="F11" s="1298">
        <v>375.65999999999997</v>
      </c>
      <c r="G11" s="1297">
        <f>SUM(C11:F11)</f>
        <v>55259.17</v>
      </c>
    </row>
    <row r="12" spans="1:19" ht="16.5">
      <c r="A12" s="1270">
        <v>3</v>
      </c>
      <c r="B12" s="1299" t="s">
        <v>1098</v>
      </c>
      <c r="C12" s="1512"/>
      <c r="D12" s="1512"/>
      <c r="E12" s="1298">
        <v>8062.38</v>
      </c>
      <c r="F12" s="1298">
        <v>725.85</v>
      </c>
      <c r="G12" s="1297">
        <f>SUM(C12:F12)</f>
        <v>8788.23</v>
      </c>
    </row>
    <row r="13" spans="1:19" ht="16.5">
      <c r="A13" s="1270">
        <v>4</v>
      </c>
      <c r="B13" s="1299"/>
      <c r="C13" s="1298"/>
      <c r="D13" s="1298"/>
      <c r="E13" s="1298"/>
      <c r="F13" s="1298"/>
      <c r="G13" s="1297"/>
    </row>
    <row r="14" spans="1:19" ht="16.5">
      <c r="A14" s="1270">
        <v>5</v>
      </c>
      <c r="B14" s="1299"/>
      <c r="C14" s="1298"/>
      <c r="D14" s="1298"/>
      <c r="E14" s="1298"/>
      <c r="F14" s="1298"/>
      <c r="G14" s="1297"/>
    </row>
    <row r="15" spans="1:19" ht="16.5">
      <c r="A15" s="1270">
        <v>6</v>
      </c>
      <c r="B15" s="1299"/>
      <c r="C15" s="1298"/>
      <c r="D15" s="1298"/>
      <c r="E15" s="1298"/>
      <c r="F15" s="1298"/>
      <c r="G15" s="1297"/>
    </row>
    <row r="16" spans="1:19" ht="16.5">
      <c r="A16" s="1270">
        <v>7</v>
      </c>
      <c r="B16" s="1299"/>
      <c r="C16" s="1298"/>
      <c r="D16" s="1298"/>
      <c r="E16" s="1298"/>
      <c r="F16" s="1298"/>
      <c r="G16" s="1297"/>
    </row>
    <row r="17" spans="1:7" ht="15">
      <c r="B17" s="1277"/>
      <c r="C17" s="1296"/>
      <c r="D17" s="1296"/>
      <c r="E17" s="1296"/>
      <c r="F17" s="1296"/>
      <c r="G17" s="1296"/>
    </row>
    <row r="18" spans="1:7" ht="15">
      <c r="A18" s="1270">
        <v>8</v>
      </c>
      <c r="B18" s="1277" t="s">
        <v>21</v>
      </c>
      <c r="C18" s="1295">
        <f>SUM(C10:C16)</f>
        <v>9240.5400000000009</v>
      </c>
      <c r="D18" s="1295">
        <f>SUM(D10:D16)</f>
        <v>6744.61</v>
      </c>
      <c r="E18" s="1295">
        <f>SUM(E10:E16)</f>
        <v>54723.639999999992</v>
      </c>
      <c r="F18" s="1295">
        <f>SUM(F10:F16)</f>
        <v>1101.51</v>
      </c>
      <c r="G18" s="1295">
        <f>SUM(G10:G16)</f>
        <v>71810.3</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10D6-6F79-496F-BF9E-57EEE83A269F}">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Sheet1</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2022-06-30T15:48:54Z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